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lavo Ferreira Cruz\Downloads\"/>
    </mc:Choice>
  </mc:AlternateContent>
  <xr:revisionPtr revIDLastSave="0" documentId="13_ncr:1_{D2B54D6C-A01F-44AC-8D6B-F77D0D98DB0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Leia-me" sheetId="1" r:id="rId1"/>
    <sheet name="Inputs" sheetId="2" r:id="rId2"/>
    <sheet name="Unit Economics" sheetId="3" r:id="rId3"/>
    <sheet name="Piloto (MVP)" sheetId="4" r:id="rId4"/>
    <sheet name="Projeção 24m" sheetId="5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B16" i="4"/>
  <c r="B28" i="3"/>
  <c r="B27" i="3"/>
  <c r="B23" i="3"/>
  <c r="B20" i="3"/>
  <c r="B10" i="3"/>
  <c r="B9" i="3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Y4" i="5"/>
  <c r="Y15" i="5" s="1"/>
  <c r="X4" i="5"/>
  <c r="W4" i="5"/>
  <c r="W15" i="5" s="1"/>
  <c r="V4" i="5"/>
  <c r="V15" i="5" s="1"/>
  <c r="U4" i="5"/>
  <c r="U15" i="5" s="1"/>
  <c r="T4" i="5"/>
  <c r="S4" i="5"/>
  <c r="R4" i="5"/>
  <c r="R15" i="5" s="1"/>
  <c r="Q4" i="5"/>
  <c r="P4" i="5"/>
  <c r="P15" i="5" s="1"/>
  <c r="O4" i="5"/>
  <c r="N4" i="5"/>
  <c r="N15" i="5" s="1"/>
  <c r="M4" i="5"/>
  <c r="L4" i="5"/>
  <c r="L15" i="5" s="1"/>
  <c r="K4" i="5"/>
  <c r="K15" i="5" s="1"/>
  <c r="J4" i="5"/>
  <c r="I4" i="5"/>
  <c r="I15" i="5" s="1"/>
  <c r="H4" i="5"/>
  <c r="G4" i="5"/>
  <c r="G15" i="5" s="1"/>
  <c r="F4" i="5"/>
  <c r="F15" i="5" s="1"/>
  <c r="E4" i="5"/>
  <c r="E15" i="5" s="1"/>
  <c r="D4" i="5"/>
  <c r="C4" i="5"/>
  <c r="B4" i="5"/>
  <c r="B15" i="5" s="1"/>
  <c r="H10" i="4"/>
  <c r="G10" i="4"/>
  <c r="F10" i="4"/>
  <c r="E10" i="4"/>
  <c r="D10" i="4"/>
  <c r="C10" i="4"/>
  <c r="B5" i="4"/>
  <c r="B31" i="3"/>
  <c r="J15" i="5"/>
  <c r="B25" i="3"/>
  <c r="B19" i="3"/>
  <c r="B18" i="3"/>
  <c r="B17" i="3"/>
  <c r="B16" i="3"/>
  <c r="B14" i="3"/>
  <c r="B8" i="3"/>
  <c r="H7" i="4" s="1"/>
  <c r="B7" i="3"/>
  <c r="B6" i="3"/>
  <c r="B5" i="3"/>
  <c r="M15" i="5" l="1"/>
  <c r="H15" i="5"/>
  <c r="B6" i="4"/>
  <c r="B15" i="4" s="1"/>
  <c r="O15" i="5"/>
  <c r="X15" i="5"/>
  <c r="Q15" i="5"/>
  <c r="C15" i="5"/>
  <c r="S15" i="5"/>
  <c r="D15" i="5"/>
  <c r="T15" i="5"/>
  <c r="B15" i="3"/>
  <c r="H8" i="4"/>
  <c r="F7" i="4"/>
  <c r="G7" i="4"/>
  <c r="C7" i="4"/>
  <c r="B32" i="3"/>
  <c r="B33" i="3"/>
  <c r="B34" i="3" s="1"/>
  <c r="D7" i="4"/>
  <c r="E7" i="4"/>
  <c r="B5" i="5"/>
  <c r="B11" i="3"/>
  <c r="B11" i="4" l="1"/>
  <c r="B12" i="4" s="1"/>
  <c r="D9" i="4"/>
  <c r="G9" i="4"/>
  <c r="F9" i="4"/>
  <c r="H9" i="4"/>
  <c r="H11" i="4" s="1"/>
  <c r="E9" i="4"/>
  <c r="C9" i="4"/>
  <c r="B24" i="3"/>
  <c r="D8" i="4"/>
  <c r="D11" i="4" s="1"/>
  <c r="C8" i="4"/>
  <c r="C11" i="4" s="1"/>
  <c r="G8" i="4"/>
  <c r="G11" i="4"/>
  <c r="F8" i="4"/>
  <c r="F11" i="4" s="1"/>
  <c r="B11" i="5"/>
  <c r="B7" i="5"/>
  <c r="C5" i="5"/>
  <c r="E8" i="4"/>
  <c r="E11" i="4" s="1"/>
  <c r="C12" i="4" l="1"/>
  <c r="B26" i="3"/>
  <c r="D12" i="4"/>
  <c r="E12" i="4" s="1"/>
  <c r="F12" i="4" s="1"/>
  <c r="G12" i="4" s="1"/>
  <c r="H12" i="4" s="1"/>
  <c r="B18" i="4" s="1"/>
  <c r="C11" i="5"/>
  <c r="C7" i="5"/>
  <c r="D5" i="5"/>
  <c r="B8" i="5"/>
  <c r="B10" i="5" s="1"/>
  <c r="B12" i="5" s="1"/>
  <c r="B17" i="5" s="1"/>
  <c r="B18" i="5" s="1"/>
  <c r="B9" i="5"/>
  <c r="B17" i="4"/>
  <c r="E5" i="5" l="1"/>
  <c r="D11" i="5"/>
  <c r="D7" i="5"/>
  <c r="C8" i="5"/>
  <c r="C9" i="5"/>
  <c r="C10" i="5" l="1"/>
  <c r="C12" i="5" s="1"/>
  <c r="C17" i="5" s="1"/>
  <c r="C18" i="5" s="1"/>
  <c r="D8" i="5"/>
  <c r="D9" i="5" s="1"/>
  <c r="F5" i="5"/>
  <c r="E11" i="5"/>
  <c r="E7" i="5"/>
  <c r="D10" i="5" l="1"/>
  <c r="D12" i="5" s="1"/>
  <c r="D17" i="5" s="1"/>
  <c r="D18" i="5" s="1"/>
  <c r="E8" i="5"/>
  <c r="E9" i="5"/>
  <c r="F11" i="5"/>
  <c r="F7" i="5"/>
  <c r="G5" i="5"/>
  <c r="E10" i="5" l="1"/>
  <c r="E12" i="5" s="1"/>
  <c r="E17" i="5" s="1"/>
  <c r="E18" i="5" s="1"/>
  <c r="G11" i="5"/>
  <c r="G7" i="5"/>
  <c r="H5" i="5"/>
  <c r="F8" i="5"/>
  <c r="F9" i="5"/>
  <c r="F10" i="5" l="1"/>
  <c r="F12" i="5" s="1"/>
  <c r="F17" i="5" s="1"/>
  <c r="F18" i="5" s="1"/>
  <c r="G8" i="5"/>
  <c r="G9" i="5" s="1"/>
  <c r="I5" i="5"/>
  <c r="H11" i="5"/>
  <c r="H7" i="5"/>
  <c r="H8" i="5" l="1"/>
  <c r="H9" i="5" s="1"/>
  <c r="J5" i="5"/>
  <c r="I11" i="5"/>
  <c r="I7" i="5"/>
  <c r="G10" i="5"/>
  <c r="G12" i="5" s="1"/>
  <c r="G17" i="5" s="1"/>
  <c r="G18" i="5" s="1"/>
  <c r="I8" i="5" l="1"/>
  <c r="J11" i="5"/>
  <c r="J7" i="5"/>
  <c r="K5" i="5"/>
  <c r="H10" i="5"/>
  <c r="H12" i="5" s="1"/>
  <c r="H17" i="5" s="1"/>
  <c r="H18" i="5" s="1"/>
  <c r="K11" i="5" l="1"/>
  <c r="K7" i="5"/>
  <c r="L5" i="5"/>
  <c r="J8" i="5"/>
  <c r="J9" i="5" s="1"/>
  <c r="I9" i="5"/>
  <c r="I10" i="5" s="1"/>
  <c r="I12" i="5" s="1"/>
  <c r="I17" i="5" s="1"/>
  <c r="I18" i="5" s="1"/>
  <c r="J10" i="5" l="1"/>
  <c r="J12" i="5" s="1"/>
  <c r="J17" i="5" s="1"/>
  <c r="J18" i="5" s="1"/>
  <c r="L7" i="5"/>
  <c r="M5" i="5"/>
  <c r="L11" i="5"/>
  <c r="K8" i="5"/>
  <c r="K9" i="5" s="1"/>
  <c r="K10" i="5" s="1"/>
  <c r="K12" i="5" s="1"/>
  <c r="K17" i="5" s="1"/>
  <c r="K18" i="5" l="1"/>
  <c r="M11" i="5"/>
  <c r="M7" i="5"/>
  <c r="N5" i="5"/>
  <c r="L8" i="5"/>
  <c r="L9" i="5"/>
  <c r="L10" i="5" l="1"/>
  <c r="L12" i="5" s="1"/>
  <c r="L17" i="5" s="1"/>
  <c r="L18" i="5" s="1"/>
  <c r="M8" i="5"/>
  <c r="M9" i="5" s="1"/>
  <c r="N11" i="5"/>
  <c r="N7" i="5"/>
  <c r="O5" i="5"/>
  <c r="N8" i="5" l="1"/>
  <c r="N9" i="5" s="1"/>
  <c r="M10" i="5"/>
  <c r="M12" i="5" s="1"/>
  <c r="M17" i="5" s="1"/>
  <c r="M18" i="5" s="1"/>
  <c r="P5" i="5"/>
  <c r="O11" i="5"/>
  <c r="O7" i="5"/>
  <c r="N10" i="5" l="1"/>
  <c r="N12" i="5" s="1"/>
  <c r="N17" i="5" s="1"/>
  <c r="N18" i="5" s="1"/>
  <c r="O8" i="5"/>
  <c r="O9" i="5"/>
  <c r="Q5" i="5"/>
  <c r="P11" i="5"/>
  <c r="P7" i="5"/>
  <c r="O10" i="5" l="1"/>
  <c r="O12" i="5" s="1"/>
  <c r="O17" i="5" s="1"/>
  <c r="O18" i="5" s="1"/>
  <c r="P8" i="5"/>
  <c r="P9" i="5"/>
  <c r="R5" i="5"/>
  <c r="Q11" i="5"/>
  <c r="Q7" i="5"/>
  <c r="P10" i="5" l="1"/>
  <c r="P12" i="5" s="1"/>
  <c r="P17" i="5" s="1"/>
  <c r="P18" i="5" s="1"/>
  <c r="Q8" i="5"/>
  <c r="Q9" i="5" s="1"/>
  <c r="S5" i="5"/>
  <c r="R7" i="5"/>
  <c r="R11" i="5"/>
  <c r="R8" i="5" l="1"/>
  <c r="R9" i="5" s="1"/>
  <c r="Q10" i="5"/>
  <c r="Q12" i="5" s="1"/>
  <c r="Q17" i="5" s="1"/>
  <c r="Q18" i="5" s="1"/>
  <c r="S11" i="5"/>
  <c r="S7" i="5"/>
  <c r="T5" i="5"/>
  <c r="U5" i="5" l="1"/>
  <c r="T11" i="5"/>
  <c r="T7" i="5"/>
  <c r="S8" i="5"/>
  <c r="S9" i="5"/>
  <c r="R10" i="5"/>
  <c r="R12" i="5" s="1"/>
  <c r="R17" i="5" s="1"/>
  <c r="R18" i="5" s="1"/>
  <c r="S10" i="5" l="1"/>
  <c r="S12" i="5" s="1"/>
  <c r="S17" i="5" s="1"/>
  <c r="S18" i="5" s="1"/>
  <c r="V5" i="5"/>
  <c r="U11" i="5"/>
  <c r="U7" i="5"/>
  <c r="T8" i="5"/>
  <c r="T9" i="5" s="1"/>
  <c r="U8" i="5" l="1"/>
  <c r="V11" i="5"/>
  <c r="V7" i="5"/>
  <c r="W5" i="5"/>
  <c r="T10" i="5"/>
  <c r="T12" i="5" s="1"/>
  <c r="T17" i="5" s="1"/>
  <c r="T18" i="5" s="1"/>
  <c r="W11" i="5" l="1"/>
  <c r="W7" i="5"/>
  <c r="X5" i="5"/>
  <c r="V8" i="5"/>
  <c r="V9" i="5"/>
  <c r="U9" i="5"/>
  <c r="U10" i="5" s="1"/>
  <c r="U12" i="5" s="1"/>
  <c r="U17" i="5" s="1"/>
  <c r="U18" i="5" s="1"/>
  <c r="V10" i="5" l="1"/>
  <c r="V12" i="5" s="1"/>
  <c r="V17" i="5" s="1"/>
  <c r="V18" i="5" s="1"/>
  <c r="Y5" i="5"/>
  <c r="X11" i="5"/>
  <c r="X7" i="5"/>
  <c r="W8" i="5"/>
  <c r="W9" i="5" l="1"/>
  <c r="W10" i="5" s="1"/>
  <c r="W12" i="5" s="1"/>
  <c r="W17" i="5" s="1"/>
  <c r="W18" i="5" s="1"/>
  <c r="X8" i="5"/>
  <c r="X9" i="5" s="1"/>
  <c r="B24" i="5"/>
  <c r="Y11" i="5"/>
  <c r="Y7" i="5"/>
  <c r="B25" i="5" l="1"/>
  <c r="Y8" i="5"/>
  <c r="X10" i="5"/>
  <c r="X12" i="5" s="1"/>
  <c r="X17" i="5" s="1"/>
  <c r="X18" i="5" s="1"/>
  <c r="Y9" i="5" l="1"/>
  <c r="Y10" i="5" s="1"/>
  <c r="Y12" i="5" s="1"/>
  <c r="Y17" i="5" s="1"/>
  <c r="Y18" i="5" s="1"/>
  <c r="B23" i="5" l="1"/>
  <c r="B22" i="5"/>
</calcChain>
</file>

<file path=xl/sharedStrings.xml><?xml version="1.0" encoding="utf-8"?>
<sst xmlns="http://schemas.openxmlformats.org/spreadsheetml/2006/main" count="175" uniqueCount="170">
  <si>
    <t>COMO USAR</t>
  </si>
  <si>
    <t>1. Vá na aba "Inputs" e ajuste os valores em AZUL conforme os dados reais que você levantar com Fábio, Juan e Tiago.</t>
  </si>
  <si>
    <t>CÓDIGO DE CORES (padrão de modelagem financeira)</t>
  </si>
  <si>
    <t>AZUL = input ajustável (você altera) · PRETO = fórmula/cálculo (não altere) · VERDE = link entre abas · FUNDO AMARELO = premissa crítica a validar</t>
  </si>
  <si>
    <t>ESTRUTURA DAS ABAS</t>
  </si>
  <si>
    <t>LIMITAÇÕES DO MODELO</t>
  </si>
  <si>
    <t>• O modelo assume que o equipamento é comprado à vista no CAPEX de cada site; se for parcelado no fornecedor, o caixa melhora.</t>
  </si>
  <si>
    <t>1. INVESTIMENTO INICIAL (desenvolvimento)</t>
  </si>
  <si>
    <t>Desenvolvimento do MVP (R$)</t>
  </si>
  <si>
    <t>Fase 2/3 — produto final pós-MVP (R$)</t>
  </si>
  <si>
    <t>Contingência sobre desenvolvimento (%)</t>
  </si>
  <si>
    <t>Mês do investimento Fase 2/3 (nº do mês)</t>
  </si>
  <si>
    <t>Quando o segundo cheque entra na Projeção 24m (após validação do MVP)</t>
  </si>
  <si>
    <t>2. CAPEX POR SITE (equipamento + instalação)</t>
  </si>
  <si>
    <t>Equipamentos por site (R$)</t>
  </si>
  <si>
    <t>Mão de obra de instalação por site (R$)</t>
  </si>
  <si>
    <t>Vida útil dos equipamentos (meses)</t>
  </si>
  <si>
    <t>Para depreciação gerencial (não afeta caixa)</t>
  </si>
  <si>
    <t>3. RECEITA POR SITE (mensal)</t>
  </si>
  <si>
    <t>Folha atual do cliente com portaria (R$/mês)</t>
  </si>
  <si>
    <t>Mensalidade fixa de assinatura (R$/mês)</t>
  </si>
  <si>
    <t>Locação de equipamentos cobrada do cliente (R$/mês)</t>
  </si>
  <si>
    <t>Repasse que "paga" o CAPEX ao longo do contrato (lógica do Fábio)</t>
  </si>
  <si>
    <t>% da economia gerada cobrado (fee de performance)</t>
  </si>
  <si>
    <t>4. COGS POR SITE (custo mensal de operar 1 site)</t>
  </si>
  <si>
    <t>Interações de voz por dia</t>
  </si>
  <si>
    <t>Duração média por interação (min)</t>
  </si>
  <si>
    <t>Custo IA voz + LLM + STT (US$/min)</t>
  </si>
  <si>
    <t>Câmbio (R$/US$)</t>
  </si>
  <si>
    <t>Infra de nuvem/servidores por site (R$/mês)</t>
  </si>
  <si>
    <t>Hospedagem do workflow, gravações, logs</t>
  </si>
  <si>
    <t>Conectividade por site (R$/mês)</t>
  </si>
  <si>
    <t>Manutenção técnica por site (R$/mês)</t>
  </si>
  <si>
    <t>Retainer do Tiago para chamados e preventivas</t>
  </si>
  <si>
    <t>Imposto sobre receita (%)</t>
  </si>
  <si>
    <t>Desconto por indicação (%)</t>
  </si>
  <si>
    <t>% da base de clientes com desconto de indicação</t>
  </si>
  <si>
    <t>Premissa: metade dos clientes futuros virá por indicação</t>
  </si>
  <si>
    <t>5. CRESCIMENTO E CUSTOS FIXOS (Projeção 24m)</t>
  </si>
  <si>
    <t>Mês de início das vendas pós-piloto</t>
  </si>
  <si>
    <t>Assume MVP validado no cliente piloto antes de vender para novos</t>
  </si>
  <si>
    <t>Novos clientes por mês (meses iniciais)</t>
  </si>
  <si>
    <t>Novos clientes por mês (a partir do mês 12)</t>
  </si>
  <si>
    <t>Aceleração após provas sociais e processo de instalação rodado</t>
  </si>
  <si>
    <t>Churn mensal (%)</t>
  </si>
  <si>
    <t>Cancelamentos — em portaria tende a ser baixo (troca dói), mas não é zero</t>
  </si>
  <si>
    <t>Custos fixos da empresa (R$/mês)</t>
  </si>
  <si>
    <t>Contabilidade, softwares, CNPJ, jurídico básico</t>
  </si>
  <si>
    <t>Pró-labore / time (R$/mês)</t>
  </si>
  <si>
    <t>Fase inicial sem retirada — ajustar quando houver time dedicado</t>
  </si>
  <si>
    <t>RECEITA MENSAL POR SITE</t>
  </si>
  <si>
    <t>Mensalidade fixa (assinatura)</t>
  </si>
  <si>
    <t>Locação de equipamentos</t>
  </si>
  <si>
    <t>Fee de performance (% da economia)</t>
  </si>
  <si>
    <t>% cobrado × (folha antiga − fixo − locação)</t>
  </si>
  <si>
    <t>Receita bruta total / site</t>
  </si>
  <si>
    <t>(−) Desconto de indicação (média da base)</t>
  </si>
  <si>
    <t>5% × % da base com desconto</t>
  </si>
  <si>
    <t>(−) Impostos sobre receita</t>
  </si>
  <si>
    <t>Receita líquida / site</t>
  </si>
  <si>
    <t>COGS MENSAL POR SITE (custo de servir)</t>
  </si>
  <si>
    <t>Minutos de voz IA por mês</t>
  </si>
  <si>
    <t>interações/dia × duração × 30,4 dias</t>
  </si>
  <si>
    <t>Custo de IA (voz + LLM)</t>
  </si>
  <si>
    <t>Nuvem / servidores</t>
  </si>
  <si>
    <t>Conectividade</t>
  </si>
  <si>
    <t>Manutenção técnica (Tiago)</t>
  </si>
  <si>
    <t>Retaguarda humana / supervisão</t>
  </si>
  <si>
    <t>COGS total / site</t>
  </si>
  <si>
    <t>MARGEM E PAYBACK</t>
  </si>
  <si>
    <t>Margem bruta mensal / site</t>
  </si>
  <si>
    <t>Margem bruta (% da receita bruta)</t>
  </si>
  <si>
    <t>Saudável para o modelo: acima de 50–60%</t>
  </si>
  <si>
    <t>Depreciação gerencial do CAPEX</t>
  </si>
  <si>
    <t>Margem após depreciação</t>
  </si>
  <si>
    <t>CAPEX por site (equip. + instalação)</t>
  </si>
  <si>
    <t>Payback do site (meses)</t>
  </si>
  <si>
    <t>Bom: &lt; 12 meses. Acima de 18, a tese de "se paga sozinho" enfraquece</t>
  </si>
  <si>
    <t>VISÃO DO CLIENTE (o argumento de venda)</t>
  </si>
  <si>
    <t>Cliente pagava antes (folha portaria)</t>
  </si>
  <si>
    <t>Cliente paga agora (total à Portaria.IA)</t>
  </si>
  <si>
    <t>Economia mensal do cliente</t>
  </si>
  <si>
    <t>Economia (%)</t>
  </si>
  <si>
    <t>PILOTO (MVP) — FLUXO DE CAIXA ISOLADO · 1 CLIENTE</t>
  </si>
  <si>
    <t>Responde: quanto capital entra, quanto volta por mês e em quanto tempo o piloto se paga.</t>
  </si>
  <si>
    <t>Mês 0</t>
  </si>
  <si>
    <t>Mês 1</t>
  </si>
  <si>
    <t>Mês 2</t>
  </si>
  <si>
    <t>Mês 3</t>
  </si>
  <si>
    <t>Mês 4</t>
  </si>
  <si>
    <t>Mês 5</t>
  </si>
  <si>
    <t>Mês 6</t>
  </si>
  <si>
    <t>Investimento MVP (dev + contingência)</t>
  </si>
  <si>
    <t>CAPEX do site piloto (equip. + instalação)</t>
  </si>
  <si>
    <t>Receita bruta (cliente piloto, sem desconto)</t>
  </si>
  <si>
    <t>(−) Impostos</t>
  </si>
  <si>
    <t>(−) COGS do site</t>
  </si>
  <si>
    <t>(−) Custos fixos da empresa</t>
  </si>
  <si>
    <t>Fluxo de caixa do mês</t>
  </si>
  <si>
    <t>Caixa acumulado</t>
  </si>
  <si>
    <t>INDICADORES DO PILOTO</t>
  </si>
  <si>
    <t>Capital total em risco no piloto</t>
  </si>
  <si>
    <t>Dev com contingência + CAPEX do site. Este é o dinheiro que NÃO volta se der errado (equip. tem revenda parcial).</t>
  </si>
  <si>
    <t>Geração de caixa mensal (regime)</t>
  </si>
  <si>
    <t>O que o piloto devolve por mês depois de instalado.</t>
  </si>
  <si>
    <t>Payback do piloto (meses)</t>
  </si>
  <si>
    <t>Meses de operação para recuperar todo o capital do piloto.</t>
  </si>
  <si>
    <t>Caixa acumulado ao fim do mês 6</t>
  </si>
  <si>
    <t>PROJEÇÃO 24 MESES — NEGÓCIO ESCALANDO</t>
  </si>
  <si>
    <t>Mês 1 = início do desenvolvimento do MVP. Rampa de clientes conforme Inputs (seção 5).</t>
  </si>
  <si>
    <t>Mês</t>
  </si>
  <si>
    <t>Novos clientes no mês</t>
  </si>
  <si>
    <t>Clientes ativos</t>
  </si>
  <si>
    <t>Receita bruta</t>
  </si>
  <si>
    <t>(−) Descontos de indicação</t>
  </si>
  <si>
    <t>Receita líquida</t>
  </si>
  <si>
    <t>(−) COGS total</t>
  </si>
  <si>
    <t>Margem bruta</t>
  </si>
  <si>
    <t>(−) Custos fixos + pró-labore</t>
  </si>
  <si>
    <t>(−) CAPEX de novos sites</t>
  </si>
  <si>
    <t>(−) Investimento em desenvolvimento</t>
  </si>
  <si>
    <t>INDICADORES-CHAVE</t>
  </si>
  <si>
    <t>Pico de necessidade de caixa (capital total exigido)</t>
  </si>
  <si>
    <t>Meses com caixa acumulado negativo</t>
  </si>
  <si>
    <t>Quanto tempo o capital fica "debaixo d'água".</t>
  </si>
  <si>
    <t>Caixa acumulado ao fim do mês 24</t>
  </si>
  <si>
    <t>Retorno acumulado do projeto em 2 anos.</t>
  </si>
  <si>
    <t>Clientes ativos ao fim do mês 24</t>
  </si>
  <si>
    <t>Receita bruta mensal ao fim do mês 24</t>
  </si>
  <si>
    <t>INPUTS - PREMISSAS DO MODELO</t>
  </si>
  <si>
    <t>Necessária cotação real por SITE</t>
  </si>
  <si>
    <t>Leitor facial, interfone IP, nobreak, cabeamento, etc (o que mais?? Está correto?)</t>
  </si>
  <si>
    <t>"5 a 8 mil" de mão de obra técnica (ponto médio)</t>
  </si>
  <si>
    <t>Valor pedido pelo Juan na 1ª reunião (prazo 25–30 dias)</t>
  </si>
  <si>
    <t>Diferença do total de R$50 mil citado</t>
  </si>
  <si>
    <t>Necessário fundamentar melhor esses valores</t>
  </si>
  <si>
    <t>Colchão para estouro de escopo/prazo, padrão de mercado 15–25% em dev terceirizado</t>
  </si>
  <si>
    <t>BASELINE estimado</t>
  </si>
  <si>
    <t>UNIT ECONOMICS - 1 SITE / CLIENTE (mensal)</t>
  </si>
  <si>
    <t>Tudo calculado a partir da aba Inputs. Se 1 site não dá margem, o negócio não escala.</t>
  </si>
  <si>
    <t>~20% da cobrança como fixo, garante piso de receita</t>
  </si>
  <si>
    <t>Ideia do Olavo: cobrar % da economia vs. folha antiga</t>
  </si>
  <si>
    <t>Entregas, visitantes, moradores, prestadores</t>
  </si>
  <si>
    <t xml:space="preserve"> Validar com dados reais do cliente piloto</t>
  </si>
  <si>
    <t>Conversas de portaria tendem a ser curtas, medir no piloto</t>
  </si>
  <si>
    <t>VALIDAR COM O JUAN</t>
  </si>
  <si>
    <t>VALIDAR COM CONTADOR</t>
  </si>
  <si>
    <t>Estimativa mercado (ElevenLabs Conversational AI + LLM)</t>
  </si>
  <si>
    <t>Custo de IA é dolarizado, risco cambial  na margem</t>
  </si>
  <si>
    <t>Retaguarda humana/ supervisão por site (R$/mês)</t>
  </si>
  <si>
    <t>Humano no loop para exceções e falhas da IA, crítico p/ segurança</t>
  </si>
  <si>
    <t>estimativa do Fábio ("~10%")</t>
  </si>
  <si>
    <t>Cconversa Fábio -&gt; 5% de desconto para quem indica</t>
  </si>
  <si>
    <t>Link de internet dedicado/redundante</t>
  </si>
  <si>
    <t>Ritmo conservador com vendas</t>
  </si>
  <si>
    <t>ESTE é o custo mais sensível, eterno e dolarizado</t>
  </si>
  <si>
    <t>Receita líquida - COGS</t>
  </si>
  <si>
    <t>Não é caixa mas  mostra o custo "real" do site</t>
  </si>
  <si>
    <t>Se ainda for muito negativo, o "risco mínimo calculado" pode estar subestimado.</t>
  </si>
  <si>
    <t>O aporte real necessário. Para comparar com os "R$50 mil" do Fábio (isso assumindo todas as demais premissas)</t>
  </si>
  <si>
    <t>PORTARIA.IA - MODELO FINANCEIRO (MVP + PROJEÇÃO)</t>
  </si>
  <si>
    <t>2. Todas as demais abas recalculam automaticamente a partir dos Inputs, não edite fórmulas (texto preto).</t>
  </si>
  <si>
    <t>3. Células com fundo AMARELO são premissas críticas ainda não validadas</t>
  </si>
  <si>
    <t>Inputs | todas as premissas do modelo em um só lugar (investimento, receita, custos, crescimento).</t>
  </si>
  <si>
    <t>Unit Economics| a economia de 1 site/cliente: receita, COGS (ou CMV) de IA, margem, payback do CAPEX e a visão de economia do cliente.</t>
  </si>
  <si>
    <t>Piloto (MVP) | fluxo de caixa do piloto isolado (mês 0 a 6): quanto entra de capital, quanto volta e em quanto tempo.</t>
  </si>
  <si>
    <t>Projeção 24m | o negócio escalando: rampa de clientes, receita, margem, investimentos e pico de necessidade de caixa.</t>
  </si>
  <si>
    <t>• O custo de IA por minuto é estimativa de mercado (ElevenLabs Conversational AI) precisa ser validado com o Juan com números reais.</t>
  </si>
  <si>
    <t>• O imposto de 10% é a estimativa, validar com contador o enquadramento real (Simples/Presumido, NF de locação vs. software).</t>
  </si>
  <si>
    <t>• Churn, inadimplência e custos de aquisição de cliente (CAC) estão simplificados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</si>
</sst>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 &quot;#,##0;&quot;(R$ &quot;#,##0\);\-"/>
    <numFmt numFmtId="165" formatCode="0.0%"/>
    <numFmt numFmtId="166" formatCode="#,##0;\(#,##0\);\-"/>
    <numFmt numFmtId="167" formatCode="&quot;US$ &quot;0.00"/>
    <numFmt numFmtId="168" formatCode="0.0"/>
    <numFmt numFmtId="169" formatCode="#,##0.0"/>
  </numFmts>
  <fonts count="15" x14ac:knownFonts="1">
    <font>
      <sz val="11"/>
      <color theme="1"/>
      <name val="Calibri"/>
      <family val="2"/>
      <charset val="1"/>
    </font>
    <font>
      <b/>
      <sz val="13"/>
      <color rgb="FF1F3864"/>
      <name val="Arial"/>
      <charset val="1"/>
    </font>
    <font>
      <i/>
      <sz val="9"/>
      <color rgb="FF595959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sz val="10"/>
      <color rgb="FF008000"/>
      <name val="Arial"/>
      <charset val="1"/>
    </font>
    <font>
      <i/>
      <sz val="11"/>
      <color theme="1"/>
      <name val="Calibri"/>
      <family val="2"/>
    </font>
    <font>
      <i/>
      <sz val="9"/>
      <color rgb="FF595959"/>
      <name val="Arial"/>
      <family val="2"/>
    </font>
    <font>
      <b/>
      <sz val="13"/>
      <color rgb="FF1F3864"/>
      <name val="Arial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40404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0" xfId="0" applyFont="1" applyFill="1"/>
    <xf numFmtId="0" fontId="0" fillId="2" borderId="0" xfId="0" applyFill="1"/>
    <xf numFmtId="0" fontId="3" fillId="0" borderId="1" xfId="0" applyFont="1" applyBorder="1"/>
    <xf numFmtId="164" fontId="6" fillId="3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165" fontId="6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/>
    <xf numFmtId="166" fontId="6" fillId="3" borderId="1" xfId="0" applyNumberFormat="1" applyFont="1" applyFill="1" applyBorder="1"/>
    <xf numFmtId="2" fontId="6" fillId="0" borderId="1" xfId="0" applyNumberFormat="1" applyFont="1" applyBorder="1"/>
    <xf numFmtId="167" fontId="6" fillId="3" borderId="1" xfId="0" applyNumberFormat="1" applyFont="1" applyFill="1" applyBorder="1"/>
    <xf numFmtId="165" fontId="6" fillId="3" borderId="1" xfId="0" applyNumberFormat="1" applyFont="1" applyFill="1" applyBorder="1"/>
    <xf numFmtId="0" fontId="3" fillId="0" borderId="0" xfId="0" applyFont="1"/>
    <xf numFmtId="164" fontId="7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166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5" fontId="3" fillId="0" borderId="0" xfId="0" applyNumberFormat="1" applyFont="1"/>
    <xf numFmtId="168" fontId="4" fillId="0" borderId="0" xfId="0" applyNumberFormat="1" applyFont="1"/>
    <xf numFmtId="0" fontId="5" fillId="2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164" fontId="4" fillId="0" borderId="1" xfId="0" applyNumberFormat="1" applyFont="1" applyBorder="1"/>
    <xf numFmtId="168" fontId="4" fillId="0" borderId="1" xfId="0" applyNumberFormat="1" applyFont="1" applyBorder="1"/>
    <xf numFmtId="1" fontId="5" fillId="2" borderId="0" xfId="0" applyNumberFormat="1" applyFont="1" applyFill="1" applyAlignment="1">
      <alignment horizontal="center"/>
    </xf>
    <xf numFmtId="169" fontId="3" fillId="0" borderId="0" xfId="0" applyNumberFormat="1" applyFont="1"/>
    <xf numFmtId="166" fontId="4" fillId="0" borderId="1" xfId="0" applyNumberFormat="1" applyFont="1" applyBorder="1"/>
    <xf numFmtId="169" fontId="4" fillId="0" borderId="1" xfId="0" applyNumberFormat="1" applyFont="1" applyBorder="1"/>
    <xf numFmtId="0" fontId="1" fillId="0" borderId="0" xfId="0" applyFont="1" applyAlignment="1">
      <alignment vertical="top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0" xfId="0" applyFont="1" applyBorder="1"/>
    <xf numFmtId="0" fontId="1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7D3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showGridLines="0" tabSelected="1" zoomScaleNormal="100" workbookViewId="0">
      <selection activeCell="B3" sqref="A3:XFD3"/>
    </sheetView>
  </sheetViews>
  <sheetFormatPr defaultColWidth="8.6640625" defaultRowHeight="14.4" x14ac:dyDescent="0.3"/>
  <cols>
    <col min="1" max="1" width="3" customWidth="1"/>
    <col min="2" max="2" width="100" customWidth="1"/>
  </cols>
  <sheetData>
    <row r="2" spans="2:2" ht="16.8" x14ac:dyDescent="0.3">
      <c r="B2" s="42" t="s">
        <v>160</v>
      </c>
    </row>
    <row r="4" spans="2:2" x14ac:dyDescent="0.3">
      <c r="B4" s="5"/>
    </row>
    <row r="5" spans="2:2" x14ac:dyDescent="0.3">
      <c r="B5" s="6" t="s">
        <v>0</v>
      </c>
    </row>
    <row r="6" spans="2:2" ht="26.4" x14ac:dyDescent="0.3">
      <c r="B6" s="5" t="s">
        <v>1</v>
      </c>
    </row>
    <row r="7" spans="2:2" x14ac:dyDescent="0.3">
      <c r="B7" s="51" t="s">
        <v>161</v>
      </c>
    </row>
    <row r="8" spans="2:2" x14ac:dyDescent="0.3">
      <c r="B8" s="51" t="s">
        <v>162</v>
      </c>
    </row>
    <row r="9" spans="2:2" x14ac:dyDescent="0.3">
      <c r="B9" s="5"/>
    </row>
    <row r="10" spans="2:2" x14ac:dyDescent="0.3">
      <c r="B10" s="6" t="s">
        <v>2</v>
      </c>
    </row>
    <row r="11" spans="2:2" ht="26.4" x14ac:dyDescent="0.3">
      <c r="B11" s="5" t="s">
        <v>3</v>
      </c>
    </row>
    <row r="12" spans="2:2" x14ac:dyDescent="0.3">
      <c r="B12" s="5"/>
    </row>
    <row r="13" spans="2:2" x14ac:dyDescent="0.3">
      <c r="B13" s="6" t="s">
        <v>4</v>
      </c>
    </row>
    <row r="14" spans="2:2" x14ac:dyDescent="0.3">
      <c r="B14" s="51" t="s">
        <v>163</v>
      </c>
    </row>
    <row r="15" spans="2:2" ht="26.4" x14ac:dyDescent="0.3">
      <c r="B15" s="51" t="s">
        <v>164</v>
      </c>
    </row>
    <row r="16" spans="2:2" x14ac:dyDescent="0.3">
      <c r="B16" s="51" t="s">
        <v>165</v>
      </c>
    </row>
    <row r="17" spans="2:2" ht="26.4" x14ac:dyDescent="0.3">
      <c r="B17" s="51" t="s">
        <v>166</v>
      </c>
    </row>
    <row r="18" spans="2:2" x14ac:dyDescent="0.3">
      <c r="B18" s="5"/>
    </row>
    <row r="19" spans="2:2" x14ac:dyDescent="0.3">
      <c r="B19" s="6" t="s">
        <v>5</v>
      </c>
    </row>
    <row r="20" spans="2:2" ht="26.4" x14ac:dyDescent="0.3">
      <c r="B20" s="51" t="s">
        <v>167</v>
      </c>
    </row>
    <row r="21" spans="2:2" ht="26.4" x14ac:dyDescent="0.3">
      <c r="B21" s="51" t="s">
        <v>168</v>
      </c>
    </row>
    <row r="22" spans="2:2" ht="26.4" x14ac:dyDescent="0.3">
      <c r="B22" s="5" t="s">
        <v>6</v>
      </c>
    </row>
    <row r="23" spans="2:2" x14ac:dyDescent="0.3">
      <c r="B23" s="51" t="s">
        <v>169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showGridLines="0" zoomScaleNormal="100" workbookViewId="0">
      <selection activeCell="C38" sqref="C38"/>
    </sheetView>
  </sheetViews>
  <sheetFormatPr defaultColWidth="8.6640625" defaultRowHeight="14.4" x14ac:dyDescent="0.3"/>
  <cols>
    <col min="1" max="1" width="52" customWidth="1"/>
    <col min="2" max="2" width="14" customWidth="1"/>
    <col min="3" max="3" width="75" customWidth="1"/>
  </cols>
  <sheetData>
    <row r="1" spans="1:5" ht="34.799999999999997" customHeight="1" x14ac:dyDescent="0.3">
      <c r="A1" s="39" t="s">
        <v>129</v>
      </c>
    </row>
    <row r="3" spans="1:5" x14ac:dyDescent="0.3">
      <c r="A3" s="7" t="s">
        <v>7</v>
      </c>
      <c r="B3" s="8"/>
      <c r="C3" s="8"/>
      <c r="D3" s="45"/>
      <c r="E3" s="45"/>
    </row>
    <row r="4" spans="1:5" x14ac:dyDescent="0.3">
      <c r="A4" s="9" t="s">
        <v>8</v>
      </c>
      <c r="B4" s="10">
        <v>20000</v>
      </c>
      <c r="C4" s="41" t="s">
        <v>133</v>
      </c>
      <c r="D4" s="46" t="s">
        <v>135</v>
      </c>
      <c r="E4" s="45"/>
    </row>
    <row r="5" spans="1:5" x14ac:dyDescent="0.3">
      <c r="A5" s="9" t="s">
        <v>9</v>
      </c>
      <c r="B5" s="10">
        <v>30000</v>
      </c>
      <c r="C5" s="41" t="s">
        <v>134</v>
      </c>
      <c r="D5" s="46" t="s">
        <v>135</v>
      </c>
      <c r="E5" s="45"/>
    </row>
    <row r="6" spans="1:5" x14ac:dyDescent="0.3">
      <c r="A6" s="9" t="s">
        <v>10</v>
      </c>
      <c r="B6" s="12">
        <v>0.15</v>
      </c>
      <c r="C6" s="41" t="s">
        <v>136</v>
      </c>
      <c r="D6" s="46"/>
      <c r="E6" s="45"/>
    </row>
    <row r="7" spans="1:5" x14ac:dyDescent="0.3">
      <c r="A7" s="9" t="s">
        <v>11</v>
      </c>
      <c r="B7" s="13">
        <v>3</v>
      </c>
      <c r="C7" s="11" t="s">
        <v>12</v>
      </c>
      <c r="D7" s="46" t="s">
        <v>135</v>
      </c>
      <c r="E7" s="45"/>
    </row>
    <row r="8" spans="1:5" x14ac:dyDescent="0.3">
      <c r="D8" s="46"/>
      <c r="E8" s="45"/>
    </row>
    <row r="9" spans="1:5" x14ac:dyDescent="0.3">
      <c r="A9" s="7" t="s">
        <v>13</v>
      </c>
      <c r="B9" s="8"/>
      <c r="C9" s="8"/>
      <c r="D9" s="46"/>
      <c r="E9" s="45"/>
    </row>
    <row r="10" spans="1:5" x14ac:dyDescent="0.3">
      <c r="A10" s="9" t="s">
        <v>14</v>
      </c>
      <c r="B10" s="10">
        <v>8000</v>
      </c>
      <c r="C10" s="41" t="s">
        <v>131</v>
      </c>
      <c r="D10" s="46" t="s">
        <v>130</v>
      </c>
      <c r="E10" s="45"/>
    </row>
    <row r="11" spans="1:5" x14ac:dyDescent="0.3">
      <c r="A11" s="9" t="s">
        <v>15</v>
      </c>
      <c r="B11" s="10">
        <v>6500</v>
      </c>
      <c r="C11" s="41" t="s">
        <v>132</v>
      </c>
      <c r="D11" s="47"/>
      <c r="E11" s="45"/>
    </row>
    <row r="12" spans="1:5" x14ac:dyDescent="0.3">
      <c r="A12" s="9" t="s">
        <v>16</v>
      </c>
      <c r="B12" s="13">
        <v>36</v>
      </c>
      <c r="C12" s="11" t="s">
        <v>17</v>
      </c>
      <c r="D12" s="45"/>
      <c r="E12" s="45"/>
    </row>
    <row r="13" spans="1:5" x14ac:dyDescent="0.3">
      <c r="D13" s="45"/>
      <c r="E13" s="45"/>
    </row>
    <row r="14" spans="1:5" x14ac:dyDescent="0.3">
      <c r="A14" s="7" t="s">
        <v>18</v>
      </c>
      <c r="B14" s="8"/>
      <c r="C14" s="8"/>
      <c r="D14" s="45"/>
      <c r="E14" s="45"/>
    </row>
    <row r="15" spans="1:5" x14ac:dyDescent="0.3">
      <c r="A15" s="9" t="s">
        <v>19</v>
      </c>
      <c r="B15" s="10">
        <v>12000</v>
      </c>
      <c r="C15" s="41" t="s">
        <v>137</v>
      </c>
    </row>
    <row r="16" spans="1:5" x14ac:dyDescent="0.3">
      <c r="A16" s="9" t="s">
        <v>20</v>
      </c>
      <c r="B16" s="14">
        <v>1500</v>
      </c>
      <c r="C16" s="41" t="s">
        <v>140</v>
      </c>
    </row>
    <row r="17" spans="1:4" x14ac:dyDescent="0.3">
      <c r="A17" s="9" t="s">
        <v>21</v>
      </c>
      <c r="B17" s="14">
        <v>500</v>
      </c>
      <c r="C17" s="11" t="s">
        <v>22</v>
      </c>
    </row>
    <row r="18" spans="1:4" x14ac:dyDescent="0.3">
      <c r="A18" s="9" t="s">
        <v>23</v>
      </c>
      <c r="B18" s="12">
        <v>0.5</v>
      </c>
      <c r="C18" s="41" t="s">
        <v>141</v>
      </c>
    </row>
    <row r="20" spans="1:4" x14ac:dyDescent="0.3">
      <c r="A20" s="7" t="s">
        <v>24</v>
      </c>
      <c r="B20" s="8"/>
      <c r="C20" s="8"/>
    </row>
    <row r="21" spans="1:4" x14ac:dyDescent="0.3">
      <c r="A21" s="9" t="s">
        <v>25</v>
      </c>
      <c r="B21" s="15">
        <v>40</v>
      </c>
      <c r="C21" s="41" t="s">
        <v>142</v>
      </c>
      <c r="D21" s="40" t="s">
        <v>143</v>
      </c>
    </row>
    <row r="22" spans="1:4" x14ac:dyDescent="0.3">
      <c r="A22" s="9" t="s">
        <v>26</v>
      </c>
      <c r="B22" s="16">
        <v>1.5</v>
      </c>
      <c r="C22" s="41" t="s">
        <v>144</v>
      </c>
    </row>
    <row r="23" spans="1:4" x14ac:dyDescent="0.3">
      <c r="A23" s="9" t="s">
        <v>27</v>
      </c>
      <c r="B23" s="17">
        <v>0.1</v>
      </c>
      <c r="C23" s="41" t="s">
        <v>147</v>
      </c>
      <c r="D23" s="40" t="s">
        <v>145</v>
      </c>
    </row>
    <row r="24" spans="1:4" x14ac:dyDescent="0.3">
      <c r="A24" s="9" t="s">
        <v>28</v>
      </c>
      <c r="B24" s="16">
        <v>5.5</v>
      </c>
      <c r="C24" s="41" t="s">
        <v>148</v>
      </c>
    </row>
    <row r="25" spans="1:4" x14ac:dyDescent="0.3">
      <c r="A25" s="9" t="s">
        <v>29</v>
      </c>
      <c r="B25" s="14">
        <v>300</v>
      </c>
      <c r="C25" s="11" t="s">
        <v>30</v>
      </c>
    </row>
    <row r="26" spans="1:4" x14ac:dyDescent="0.3">
      <c r="A26" s="9" t="s">
        <v>31</v>
      </c>
      <c r="B26" s="14">
        <v>250</v>
      </c>
      <c r="C26" s="41" t="s">
        <v>153</v>
      </c>
    </row>
    <row r="27" spans="1:4" x14ac:dyDescent="0.3">
      <c r="A27" s="9" t="s">
        <v>32</v>
      </c>
      <c r="B27" s="14">
        <v>400</v>
      </c>
      <c r="C27" s="11" t="s">
        <v>33</v>
      </c>
    </row>
    <row r="28" spans="1:4" x14ac:dyDescent="0.3">
      <c r="A28" s="48" t="s">
        <v>149</v>
      </c>
      <c r="B28" s="10">
        <v>800</v>
      </c>
      <c r="C28" s="41" t="s">
        <v>150</v>
      </c>
    </row>
    <row r="29" spans="1:4" x14ac:dyDescent="0.3">
      <c r="A29" s="9" t="s">
        <v>34</v>
      </c>
      <c r="B29" s="18">
        <v>0.1</v>
      </c>
      <c r="C29" s="41" t="s">
        <v>151</v>
      </c>
      <c r="D29" s="40" t="s">
        <v>146</v>
      </c>
    </row>
    <row r="30" spans="1:4" x14ac:dyDescent="0.3">
      <c r="A30" s="9" t="s">
        <v>35</v>
      </c>
      <c r="B30" s="12">
        <v>0.05</v>
      </c>
      <c r="C30" s="41" t="s">
        <v>152</v>
      </c>
    </row>
    <row r="31" spans="1:4" x14ac:dyDescent="0.3">
      <c r="A31" s="9" t="s">
        <v>36</v>
      </c>
      <c r="B31" s="12">
        <v>0.5</v>
      </c>
      <c r="C31" s="11" t="s">
        <v>37</v>
      </c>
    </row>
    <row r="33" spans="1:3" x14ac:dyDescent="0.3">
      <c r="A33" s="7" t="s">
        <v>38</v>
      </c>
      <c r="B33" s="8"/>
      <c r="C33" s="8"/>
    </row>
    <row r="34" spans="1:3" x14ac:dyDescent="0.3">
      <c r="A34" s="9" t="s">
        <v>39</v>
      </c>
      <c r="B34" s="13">
        <v>4</v>
      </c>
      <c r="C34" s="11" t="s">
        <v>40</v>
      </c>
    </row>
    <row r="35" spans="1:3" x14ac:dyDescent="0.3">
      <c r="A35" s="9" t="s">
        <v>41</v>
      </c>
      <c r="B35" s="13">
        <v>1</v>
      </c>
      <c r="C35" s="41" t="s">
        <v>154</v>
      </c>
    </row>
    <row r="36" spans="1:3" x14ac:dyDescent="0.3">
      <c r="A36" s="9" t="s">
        <v>42</v>
      </c>
      <c r="B36" s="13">
        <v>2</v>
      </c>
      <c r="C36" s="11" t="s">
        <v>43</v>
      </c>
    </row>
    <row r="37" spans="1:3" x14ac:dyDescent="0.3">
      <c r="A37" s="9" t="s">
        <v>44</v>
      </c>
      <c r="B37" s="12">
        <v>0.01</v>
      </c>
      <c r="C37" s="11" t="s">
        <v>45</v>
      </c>
    </row>
    <row r="38" spans="1:3" x14ac:dyDescent="0.3">
      <c r="A38" s="9" t="s">
        <v>46</v>
      </c>
      <c r="B38" s="14">
        <v>2500</v>
      </c>
      <c r="C38" s="11" t="s">
        <v>47</v>
      </c>
    </row>
    <row r="39" spans="1:3" x14ac:dyDescent="0.3">
      <c r="A39" s="9" t="s">
        <v>48</v>
      </c>
      <c r="B39" s="14">
        <v>0</v>
      </c>
      <c r="C39" s="11" t="s">
        <v>49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showGridLines="0" topLeftCell="A3" zoomScaleNormal="100" workbookViewId="0">
      <selection activeCell="B42" sqref="B42"/>
    </sheetView>
  </sheetViews>
  <sheetFormatPr defaultColWidth="8.6640625" defaultRowHeight="14.4" x14ac:dyDescent="0.3"/>
  <cols>
    <col min="1" max="1" width="46" customWidth="1"/>
    <col min="2" max="2" width="16" customWidth="1"/>
    <col min="3" max="3" width="70" customWidth="1"/>
  </cols>
  <sheetData>
    <row r="1" spans="1:3" ht="16.8" x14ac:dyDescent="0.3">
      <c r="A1" s="42" t="s">
        <v>138</v>
      </c>
    </row>
    <row r="2" spans="1:3" x14ac:dyDescent="0.3">
      <c r="A2" s="43" t="s">
        <v>139</v>
      </c>
    </row>
    <row r="4" spans="1:3" x14ac:dyDescent="0.3">
      <c r="A4" s="7" t="s">
        <v>50</v>
      </c>
      <c r="B4" s="8"/>
      <c r="C4" s="8"/>
    </row>
    <row r="5" spans="1:3" x14ac:dyDescent="0.3">
      <c r="A5" s="19" t="s">
        <v>51</v>
      </c>
      <c r="B5" s="20">
        <f>Inputs!$B$16</f>
        <v>1500</v>
      </c>
    </row>
    <row r="6" spans="1:3" x14ac:dyDescent="0.3">
      <c r="A6" s="19" t="s">
        <v>52</v>
      </c>
      <c r="B6" s="20">
        <f>Inputs!$B$17</f>
        <v>500</v>
      </c>
    </row>
    <row r="7" spans="1:3" x14ac:dyDescent="0.3">
      <c r="A7" s="19" t="s">
        <v>53</v>
      </c>
      <c r="B7" s="21">
        <f>MAX(0,Inputs!$B$18*(Inputs!$B$15-Inputs!$B$16-Inputs!$B$17))</f>
        <v>5000</v>
      </c>
      <c r="C7" s="22" t="s">
        <v>54</v>
      </c>
    </row>
    <row r="8" spans="1:3" x14ac:dyDescent="0.3">
      <c r="A8" s="23" t="s">
        <v>55</v>
      </c>
      <c r="B8" s="24">
        <f>SUM(B5:B7)</f>
        <v>7000</v>
      </c>
    </row>
    <row r="9" spans="1:3" x14ac:dyDescent="0.3">
      <c r="A9" s="19" t="s">
        <v>56</v>
      </c>
      <c r="B9" s="21">
        <f>-B8*Inputs!$B$30*Inputs!$B$31</f>
        <v>-175</v>
      </c>
      <c r="C9" s="22" t="s">
        <v>57</v>
      </c>
    </row>
    <row r="10" spans="1:3" x14ac:dyDescent="0.3">
      <c r="A10" s="19" t="s">
        <v>58</v>
      </c>
      <c r="B10" s="21">
        <f>-(B8+B9)*Inputs!$B$29</f>
        <v>-682.5</v>
      </c>
    </row>
    <row r="11" spans="1:3" x14ac:dyDescent="0.3">
      <c r="A11" s="23" t="s">
        <v>59</v>
      </c>
      <c r="B11" s="24">
        <f>B8+B9+B10</f>
        <v>6142.5</v>
      </c>
    </row>
    <row r="13" spans="1:3" x14ac:dyDescent="0.3">
      <c r="A13" s="7" t="s">
        <v>60</v>
      </c>
      <c r="B13" s="8"/>
      <c r="C13" s="8"/>
    </row>
    <row r="14" spans="1:3" x14ac:dyDescent="0.3">
      <c r="A14" s="19" t="s">
        <v>61</v>
      </c>
      <c r="B14" s="25">
        <f>Inputs!$B$21*Inputs!$B$22*30.4</f>
        <v>1824</v>
      </c>
      <c r="C14" s="22" t="s">
        <v>62</v>
      </c>
    </row>
    <row r="15" spans="1:3" x14ac:dyDescent="0.3">
      <c r="A15" s="19" t="s">
        <v>63</v>
      </c>
      <c r="B15" s="21">
        <f>B14*Inputs!$B$23*Inputs!$B$24</f>
        <v>1003.2</v>
      </c>
      <c r="C15" s="44" t="s">
        <v>155</v>
      </c>
    </row>
    <row r="16" spans="1:3" x14ac:dyDescent="0.3">
      <c r="A16" s="19" t="s">
        <v>64</v>
      </c>
      <c r="B16" s="20">
        <f>Inputs!$B$25</f>
        <v>300</v>
      </c>
    </row>
    <row r="17" spans="1:3" x14ac:dyDescent="0.3">
      <c r="A17" s="19" t="s">
        <v>65</v>
      </c>
      <c r="B17" s="20">
        <f>Inputs!$B$26</f>
        <v>250</v>
      </c>
    </row>
    <row r="18" spans="1:3" x14ac:dyDescent="0.3">
      <c r="A18" s="19" t="s">
        <v>66</v>
      </c>
      <c r="B18" s="20">
        <f>Inputs!$B$27</f>
        <v>400</v>
      </c>
    </row>
    <row r="19" spans="1:3" x14ac:dyDescent="0.3">
      <c r="A19" s="19" t="s">
        <v>67</v>
      </c>
      <c r="B19" s="20">
        <f>Inputs!$B$28</f>
        <v>800</v>
      </c>
    </row>
    <row r="20" spans="1:3" x14ac:dyDescent="0.3">
      <c r="A20" s="23" t="s">
        <v>68</v>
      </c>
      <c r="B20" s="24">
        <f>SUM(B15:B19)</f>
        <v>2753.2</v>
      </c>
    </row>
    <row r="22" spans="1:3" x14ac:dyDescent="0.3">
      <c r="A22" s="7" t="s">
        <v>69</v>
      </c>
      <c r="B22" s="8"/>
      <c r="C22" s="8"/>
    </row>
    <row r="23" spans="1:3" x14ac:dyDescent="0.3">
      <c r="A23" s="26" t="s">
        <v>70</v>
      </c>
      <c r="B23" s="27">
        <f>B11-B20</f>
        <v>3389.3</v>
      </c>
      <c r="C23" s="44" t="s">
        <v>156</v>
      </c>
    </row>
    <row r="24" spans="1:3" x14ac:dyDescent="0.3">
      <c r="A24" s="19" t="s">
        <v>71</v>
      </c>
      <c r="B24" s="28">
        <f>IF(B8=0,0,B23/B8)</f>
        <v>0.48418571428571433</v>
      </c>
      <c r="C24" s="22" t="s">
        <v>72</v>
      </c>
    </row>
    <row r="25" spans="1:3" x14ac:dyDescent="0.3">
      <c r="A25" s="19" t="s">
        <v>73</v>
      </c>
      <c r="B25" s="21">
        <f>(Inputs!$B$10+Inputs!$B$11)/Inputs!$B$12</f>
        <v>402.77777777777777</v>
      </c>
      <c r="C25" s="44" t="s">
        <v>157</v>
      </c>
    </row>
    <row r="26" spans="1:3" x14ac:dyDescent="0.3">
      <c r="A26" s="19" t="s">
        <v>74</v>
      </c>
      <c r="B26" s="21">
        <f>B23-B25</f>
        <v>2986.5222222222224</v>
      </c>
    </row>
    <row r="27" spans="1:3" x14ac:dyDescent="0.3">
      <c r="A27" s="19" t="s">
        <v>75</v>
      </c>
      <c r="B27" s="21">
        <f>Inputs!$B$10+Inputs!$B$11</f>
        <v>14500</v>
      </c>
    </row>
    <row r="28" spans="1:3" x14ac:dyDescent="0.3">
      <c r="A28" s="26" t="s">
        <v>76</v>
      </c>
      <c r="B28" s="29">
        <f>IF(B23&lt;=0,"não paga",B27/B23)</f>
        <v>4.2781695335319974</v>
      </c>
      <c r="C28" s="44" t="s">
        <v>77</v>
      </c>
    </row>
    <row r="30" spans="1:3" x14ac:dyDescent="0.3">
      <c r="A30" s="7" t="s">
        <v>78</v>
      </c>
      <c r="B30" s="8"/>
      <c r="C30" s="8"/>
    </row>
    <row r="31" spans="1:3" x14ac:dyDescent="0.3">
      <c r="A31" s="19" t="s">
        <v>79</v>
      </c>
      <c r="B31" s="20">
        <f>Inputs!$B$15</f>
        <v>12000</v>
      </c>
    </row>
    <row r="32" spans="1:3" x14ac:dyDescent="0.3">
      <c r="A32" s="19" t="s">
        <v>80</v>
      </c>
      <c r="B32" s="21">
        <f>B8</f>
        <v>7000</v>
      </c>
    </row>
    <row r="33" spans="1:3" x14ac:dyDescent="0.3">
      <c r="A33" s="26" t="s">
        <v>81</v>
      </c>
      <c r="B33" s="27">
        <f>B31-B32</f>
        <v>5000</v>
      </c>
    </row>
    <row r="34" spans="1:3" x14ac:dyDescent="0.3">
      <c r="A34" s="19" t="s">
        <v>82</v>
      </c>
      <c r="B34" s="28">
        <f>IF(B31=0,0,B33/B31)</f>
        <v>0.41666666666666669</v>
      </c>
      <c r="C34" s="2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showGridLines="0" zoomScaleNormal="100" workbookViewId="0">
      <selection activeCell="C15" sqref="C15:H15"/>
    </sheetView>
  </sheetViews>
  <sheetFormatPr defaultColWidth="8.6640625" defaultRowHeight="14.4" x14ac:dyDescent="0.3"/>
  <cols>
    <col min="1" max="1" width="44" customWidth="1"/>
    <col min="2" max="8" width="13" customWidth="1"/>
    <col min="10" max="10" width="60" customWidth="1"/>
  </cols>
  <sheetData>
    <row r="1" spans="1:8" ht="16.8" x14ac:dyDescent="0.3">
      <c r="A1" s="3" t="s">
        <v>83</v>
      </c>
    </row>
    <row r="2" spans="1:8" x14ac:dyDescent="0.3">
      <c r="A2" s="4" t="s">
        <v>84</v>
      </c>
    </row>
    <row r="4" spans="1:8" x14ac:dyDescent="0.3">
      <c r="A4" s="8"/>
      <c r="B4" s="30" t="s">
        <v>85</v>
      </c>
      <c r="C4" s="30" t="s">
        <v>86</v>
      </c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</row>
    <row r="5" spans="1:8" x14ac:dyDescent="0.3">
      <c r="A5" s="19" t="s">
        <v>92</v>
      </c>
      <c r="B5" s="21">
        <f>-Inputs!$B$4*(1+Inputs!$B$6)</f>
        <v>-23000</v>
      </c>
      <c r="C5" s="21"/>
      <c r="D5" s="21"/>
      <c r="E5" s="21"/>
      <c r="F5" s="21"/>
      <c r="G5" s="21"/>
      <c r="H5" s="21"/>
    </row>
    <row r="6" spans="1:8" x14ac:dyDescent="0.3">
      <c r="A6" s="19" t="s">
        <v>93</v>
      </c>
      <c r="B6" s="21">
        <f>-'Unit Economics'!$B$27</f>
        <v>-14500</v>
      </c>
      <c r="C6" s="21"/>
      <c r="D6" s="21"/>
      <c r="E6" s="21"/>
      <c r="F6" s="21"/>
      <c r="G6" s="21"/>
      <c r="H6" s="21"/>
    </row>
    <row r="7" spans="1:8" x14ac:dyDescent="0.3">
      <c r="A7" s="19" t="s">
        <v>94</v>
      </c>
      <c r="B7" s="21"/>
      <c r="C7" s="21">
        <f>'Unit Economics'!$B$8</f>
        <v>7000</v>
      </c>
      <c r="D7" s="21">
        <f>'Unit Economics'!$B$8</f>
        <v>7000</v>
      </c>
      <c r="E7" s="21">
        <f>'Unit Economics'!$B$8</f>
        <v>7000</v>
      </c>
      <c r="F7" s="21">
        <f>'Unit Economics'!$B$8</f>
        <v>7000</v>
      </c>
      <c r="G7" s="21">
        <f>'Unit Economics'!$B$8</f>
        <v>7000</v>
      </c>
      <c r="H7" s="21">
        <f>'Unit Economics'!$B$8</f>
        <v>7000</v>
      </c>
    </row>
    <row r="8" spans="1:8" x14ac:dyDescent="0.3">
      <c r="A8" s="19" t="s">
        <v>95</v>
      </c>
      <c r="B8" s="21"/>
      <c r="C8" s="21">
        <f>-C7*Inputs!$B$29</f>
        <v>-700</v>
      </c>
      <c r="D8" s="21">
        <f>-D7*Inputs!$B$29</f>
        <v>-700</v>
      </c>
      <c r="E8" s="21">
        <f>-E7*Inputs!$B$29</f>
        <v>-700</v>
      </c>
      <c r="F8" s="21">
        <f>-F7*Inputs!$B$29</f>
        <v>-700</v>
      </c>
      <c r="G8" s="21">
        <f>-G7*Inputs!$B$29</f>
        <v>-700</v>
      </c>
      <c r="H8" s="21">
        <f>-H7*Inputs!$B$29</f>
        <v>-700</v>
      </c>
    </row>
    <row r="9" spans="1:8" x14ac:dyDescent="0.3">
      <c r="A9" s="19" t="s">
        <v>96</v>
      </c>
      <c r="B9" s="21"/>
      <c r="C9" s="21">
        <f>-'Unit Economics'!$B$20</f>
        <v>-2753.2</v>
      </c>
      <c r="D9" s="21">
        <f>-'Unit Economics'!$B$20</f>
        <v>-2753.2</v>
      </c>
      <c r="E9" s="21">
        <f>-'Unit Economics'!$B$20</f>
        <v>-2753.2</v>
      </c>
      <c r="F9" s="21">
        <f>-'Unit Economics'!$B$20</f>
        <v>-2753.2</v>
      </c>
      <c r="G9" s="21">
        <f>-'Unit Economics'!$B$20</f>
        <v>-2753.2</v>
      </c>
      <c r="H9" s="21">
        <f>-'Unit Economics'!$B$20</f>
        <v>-2753.2</v>
      </c>
    </row>
    <row r="10" spans="1:8" x14ac:dyDescent="0.3">
      <c r="A10" s="19" t="s">
        <v>97</v>
      </c>
      <c r="B10" s="21"/>
      <c r="C10" s="21">
        <f>-Inputs!$B$38</f>
        <v>-2500</v>
      </c>
      <c r="D10" s="21">
        <f>-Inputs!$B$38</f>
        <v>-2500</v>
      </c>
      <c r="E10" s="21">
        <f>-Inputs!$B$38</f>
        <v>-2500</v>
      </c>
      <c r="F10" s="21">
        <f>-Inputs!$B$38</f>
        <v>-2500</v>
      </c>
      <c r="G10" s="21">
        <f>-Inputs!$B$38</f>
        <v>-2500</v>
      </c>
      <c r="H10" s="21">
        <f>-Inputs!$B$38</f>
        <v>-2500</v>
      </c>
    </row>
    <row r="11" spans="1:8" x14ac:dyDescent="0.3">
      <c r="A11" s="23" t="s">
        <v>98</v>
      </c>
      <c r="B11" s="24">
        <f>B5+B6</f>
        <v>-37500</v>
      </c>
      <c r="C11" s="24">
        <f t="shared" ref="C11:H11" si="0">SUM(C7:C10)</f>
        <v>1046.8000000000002</v>
      </c>
      <c r="D11" s="24">
        <f t="shared" si="0"/>
        <v>1046.8000000000002</v>
      </c>
      <c r="E11" s="24">
        <f t="shared" si="0"/>
        <v>1046.8000000000002</v>
      </c>
      <c r="F11" s="24">
        <f t="shared" si="0"/>
        <v>1046.8000000000002</v>
      </c>
      <c r="G11" s="24">
        <f t="shared" si="0"/>
        <v>1046.8000000000002</v>
      </c>
      <c r="H11" s="24">
        <f t="shared" si="0"/>
        <v>1046.8000000000002</v>
      </c>
    </row>
    <row r="12" spans="1:8" x14ac:dyDescent="0.3">
      <c r="A12" s="31" t="s">
        <v>99</v>
      </c>
      <c r="B12" s="32">
        <f>B11</f>
        <v>-37500</v>
      </c>
      <c r="C12" s="32">
        <f t="shared" ref="C12:H12" si="1">B12+C11</f>
        <v>-36453.199999999997</v>
      </c>
      <c r="D12" s="32">
        <f t="shared" si="1"/>
        <v>-35406.399999999994</v>
      </c>
      <c r="E12" s="32">
        <f t="shared" si="1"/>
        <v>-34359.599999999991</v>
      </c>
      <c r="F12" s="32">
        <f t="shared" si="1"/>
        <v>-33312.799999999988</v>
      </c>
      <c r="G12" s="32">
        <f t="shared" si="1"/>
        <v>-32265.999999999989</v>
      </c>
      <c r="H12" s="32">
        <f t="shared" si="1"/>
        <v>-31219.19999999999</v>
      </c>
    </row>
    <row r="14" spans="1:8" x14ac:dyDescent="0.3">
      <c r="A14" s="7" t="s">
        <v>100</v>
      </c>
      <c r="B14" s="8"/>
      <c r="C14" s="8"/>
    </row>
    <row r="15" spans="1:8" ht="22.35" customHeight="1" x14ac:dyDescent="0.3">
      <c r="A15" s="9" t="s">
        <v>101</v>
      </c>
      <c r="B15" s="33">
        <f>-(B5+B6)</f>
        <v>37500</v>
      </c>
      <c r="C15" s="2" t="s">
        <v>102</v>
      </c>
      <c r="D15" s="2"/>
      <c r="E15" s="2"/>
      <c r="F15" s="2"/>
      <c r="G15" s="2"/>
      <c r="H15" s="2"/>
    </row>
    <row r="16" spans="1:8" ht="15" customHeight="1" x14ac:dyDescent="0.3">
      <c r="A16" s="9" t="s">
        <v>103</v>
      </c>
      <c r="B16" s="33">
        <f>C11</f>
        <v>1046.8000000000002</v>
      </c>
      <c r="C16" s="2" t="s">
        <v>104</v>
      </c>
      <c r="D16" s="2"/>
      <c r="E16" s="2"/>
      <c r="F16" s="2"/>
      <c r="G16" s="2"/>
      <c r="H16" s="2"/>
    </row>
    <row r="17" spans="1:8" ht="15" customHeight="1" x14ac:dyDescent="0.3">
      <c r="A17" s="9" t="s">
        <v>105</v>
      </c>
      <c r="B17" s="34">
        <f>IF(C11&lt;=0,"não paga",B15/C11)</f>
        <v>35.823461979365682</v>
      </c>
      <c r="C17" s="2" t="s">
        <v>106</v>
      </c>
      <c r="D17" s="2"/>
      <c r="E17" s="2"/>
      <c r="F17" s="2"/>
      <c r="G17" s="2"/>
      <c r="H17" s="2"/>
    </row>
    <row r="18" spans="1:8" ht="15" customHeight="1" x14ac:dyDescent="0.3">
      <c r="A18" s="9" t="s">
        <v>107</v>
      </c>
      <c r="B18" s="33">
        <f>H12</f>
        <v>-31219.19999999999</v>
      </c>
      <c r="C18" s="49" t="s">
        <v>158</v>
      </c>
      <c r="D18" s="2"/>
      <c r="E18" s="2"/>
      <c r="F18" s="2"/>
      <c r="G18" s="2"/>
      <c r="H18" s="2"/>
    </row>
  </sheetData>
  <mergeCells count="4">
    <mergeCell ref="C15:H15"/>
    <mergeCell ref="C16:H16"/>
    <mergeCell ref="C17:H17"/>
    <mergeCell ref="C18:H1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6" sqref="I16"/>
    </sheetView>
  </sheetViews>
  <sheetFormatPr defaultColWidth="8.6640625" defaultRowHeight="14.4" x14ac:dyDescent="0.3"/>
  <cols>
    <col min="1" max="1" width="44.6640625" customWidth="1"/>
    <col min="2" max="25" width="11" customWidth="1"/>
  </cols>
  <sheetData>
    <row r="1" spans="1:25" ht="16.8" x14ac:dyDescent="0.3">
      <c r="A1" s="3" t="s">
        <v>108</v>
      </c>
    </row>
    <row r="2" spans="1:25" x14ac:dyDescent="0.3">
      <c r="A2" s="4" t="s">
        <v>109</v>
      </c>
    </row>
    <row r="3" spans="1:25" x14ac:dyDescent="0.3">
      <c r="A3" s="7" t="s">
        <v>110</v>
      </c>
      <c r="B3" s="35">
        <v>1</v>
      </c>
      <c r="C3" s="35">
        <v>2</v>
      </c>
      <c r="D3" s="35">
        <v>3</v>
      </c>
      <c r="E3" s="35">
        <v>4</v>
      </c>
      <c r="F3" s="35">
        <v>5</v>
      </c>
      <c r="G3" s="35">
        <v>6</v>
      </c>
      <c r="H3" s="35">
        <v>7</v>
      </c>
      <c r="I3" s="35">
        <v>8</v>
      </c>
      <c r="J3" s="35">
        <v>9</v>
      </c>
      <c r="K3" s="35">
        <v>10</v>
      </c>
      <c r="L3" s="35">
        <v>11</v>
      </c>
      <c r="M3" s="35">
        <v>12</v>
      </c>
      <c r="N3" s="35">
        <v>13</v>
      </c>
      <c r="O3" s="35">
        <v>14</v>
      </c>
      <c r="P3" s="35">
        <v>15</v>
      </c>
      <c r="Q3" s="35">
        <v>16</v>
      </c>
      <c r="R3" s="35">
        <v>17</v>
      </c>
      <c r="S3" s="35">
        <v>18</v>
      </c>
      <c r="T3" s="35">
        <v>19</v>
      </c>
      <c r="U3" s="35">
        <v>20</v>
      </c>
      <c r="V3" s="35">
        <v>21</v>
      </c>
      <c r="W3" s="35">
        <v>22</v>
      </c>
      <c r="X3" s="35">
        <v>23</v>
      </c>
      <c r="Y3" s="35">
        <v>24</v>
      </c>
    </row>
    <row r="4" spans="1:25" x14ac:dyDescent="0.3">
      <c r="A4" s="19" t="s">
        <v>111</v>
      </c>
      <c r="B4" s="25">
        <f>IF(B$3=1,1,IF(B$3&lt;Inputs!$B$34,0,IF(B$3&lt;12,Inputs!$B$35,Inputs!$B$36)))</f>
        <v>1</v>
      </c>
      <c r="C4" s="25">
        <f>IF(C$3=1,1,IF(C$3&lt;Inputs!$B$34,0,IF(C$3&lt;12,Inputs!$B$35,Inputs!$B$36)))</f>
        <v>0</v>
      </c>
      <c r="D4" s="25">
        <f>IF(D$3=1,1,IF(D$3&lt;Inputs!$B$34,0,IF(D$3&lt;12,Inputs!$B$35,Inputs!$B$36)))</f>
        <v>0</v>
      </c>
      <c r="E4" s="25">
        <f>IF(E$3=1,1,IF(E$3&lt;Inputs!$B$34,0,IF(E$3&lt;12,Inputs!$B$35,Inputs!$B$36)))</f>
        <v>1</v>
      </c>
      <c r="F4" s="25">
        <f>IF(F$3=1,1,IF(F$3&lt;Inputs!$B$34,0,IF(F$3&lt;12,Inputs!$B$35,Inputs!$B$36)))</f>
        <v>1</v>
      </c>
      <c r="G4" s="25">
        <f>IF(G$3=1,1,IF(G$3&lt;Inputs!$B$34,0,IF(G$3&lt;12,Inputs!$B$35,Inputs!$B$36)))</f>
        <v>1</v>
      </c>
      <c r="H4" s="25">
        <f>IF(H$3=1,1,IF(H$3&lt;Inputs!$B$34,0,IF(H$3&lt;12,Inputs!$B$35,Inputs!$B$36)))</f>
        <v>1</v>
      </c>
      <c r="I4" s="25">
        <f>IF(I$3=1,1,IF(I$3&lt;Inputs!$B$34,0,IF(I$3&lt;12,Inputs!$B$35,Inputs!$B$36)))</f>
        <v>1</v>
      </c>
      <c r="J4" s="25">
        <f>IF(J$3=1,1,IF(J$3&lt;Inputs!$B$34,0,IF(J$3&lt;12,Inputs!$B$35,Inputs!$B$36)))</f>
        <v>1</v>
      </c>
      <c r="K4" s="25">
        <f>IF(K$3=1,1,IF(K$3&lt;Inputs!$B$34,0,IF(K$3&lt;12,Inputs!$B$35,Inputs!$B$36)))</f>
        <v>1</v>
      </c>
      <c r="L4" s="25">
        <f>IF(L$3=1,1,IF(L$3&lt;Inputs!$B$34,0,IF(L$3&lt;12,Inputs!$B$35,Inputs!$B$36)))</f>
        <v>1</v>
      </c>
      <c r="M4" s="25">
        <f>IF(M$3=1,1,IF(M$3&lt;Inputs!$B$34,0,IF(M$3&lt;12,Inputs!$B$35,Inputs!$B$36)))</f>
        <v>2</v>
      </c>
      <c r="N4" s="25">
        <f>IF(N$3=1,1,IF(N$3&lt;Inputs!$B$34,0,IF(N$3&lt;12,Inputs!$B$35,Inputs!$B$36)))</f>
        <v>2</v>
      </c>
      <c r="O4" s="25">
        <f>IF(O$3=1,1,IF(O$3&lt;Inputs!$B$34,0,IF(O$3&lt;12,Inputs!$B$35,Inputs!$B$36)))</f>
        <v>2</v>
      </c>
      <c r="P4" s="25">
        <f>IF(P$3=1,1,IF(P$3&lt;Inputs!$B$34,0,IF(P$3&lt;12,Inputs!$B$35,Inputs!$B$36)))</f>
        <v>2</v>
      </c>
      <c r="Q4" s="25">
        <f>IF(Q$3=1,1,IF(Q$3&lt;Inputs!$B$34,0,IF(Q$3&lt;12,Inputs!$B$35,Inputs!$B$36)))</f>
        <v>2</v>
      </c>
      <c r="R4" s="25">
        <f>IF(R$3=1,1,IF(R$3&lt;Inputs!$B$34,0,IF(R$3&lt;12,Inputs!$B$35,Inputs!$B$36)))</f>
        <v>2</v>
      </c>
      <c r="S4" s="25">
        <f>IF(S$3=1,1,IF(S$3&lt;Inputs!$B$34,0,IF(S$3&lt;12,Inputs!$B$35,Inputs!$B$36)))</f>
        <v>2</v>
      </c>
      <c r="T4" s="25">
        <f>IF(T$3=1,1,IF(T$3&lt;Inputs!$B$34,0,IF(T$3&lt;12,Inputs!$B$35,Inputs!$B$36)))</f>
        <v>2</v>
      </c>
      <c r="U4" s="25">
        <f>IF(U$3=1,1,IF(U$3&lt;Inputs!$B$34,0,IF(U$3&lt;12,Inputs!$B$35,Inputs!$B$36)))</f>
        <v>2</v>
      </c>
      <c r="V4" s="25">
        <f>IF(V$3=1,1,IF(V$3&lt;Inputs!$B$34,0,IF(V$3&lt;12,Inputs!$B$35,Inputs!$B$36)))</f>
        <v>2</v>
      </c>
      <c r="W4" s="25">
        <f>IF(W$3=1,1,IF(W$3&lt;Inputs!$B$34,0,IF(W$3&lt;12,Inputs!$B$35,Inputs!$B$36)))</f>
        <v>2</v>
      </c>
      <c r="X4" s="25">
        <f>IF(X$3=1,1,IF(X$3&lt;Inputs!$B$34,0,IF(X$3&lt;12,Inputs!$B$35,Inputs!$B$36)))</f>
        <v>2</v>
      </c>
      <c r="Y4" s="25">
        <f>IF(Y$3=1,1,IF(Y$3&lt;Inputs!$B$34,0,IF(Y$3&lt;12,Inputs!$B$35,Inputs!$B$36)))</f>
        <v>2</v>
      </c>
    </row>
    <row r="5" spans="1:25" x14ac:dyDescent="0.3">
      <c r="A5" s="19" t="s">
        <v>112</v>
      </c>
      <c r="B5" s="36">
        <f>B4</f>
        <v>1</v>
      </c>
      <c r="C5" s="36">
        <f>B5*(1-Inputs!$B$37)+C4</f>
        <v>0.99</v>
      </c>
      <c r="D5" s="36">
        <f>C5*(1-Inputs!$B$37)+D4</f>
        <v>0.98009999999999997</v>
      </c>
      <c r="E5" s="36">
        <f>D5*(1-Inputs!$B$37)+E4</f>
        <v>1.9702989999999998</v>
      </c>
      <c r="F5" s="36">
        <f>E5*(1-Inputs!$B$37)+F4</f>
        <v>2.9505960099999999</v>
      </c>
      <c r="G5" s="36">
        <f>F5*(1-Inputs!$B$37)+G4</f>
        <v>3.9210900499000001</v>
      </c>
      <c r="H5" s="36">
        <f>G5*(1-Inputs!$B$37)+H4</f>
        <v>4.8818791494009997</v>
      </c>
      <c r="I5" s="36">
        <f>H5*(1-Inputs!$B$37)+I4</f>
        <v>5.83306035790699</v>
      </c>
      <c r="J5" s="36">
        <f>I5*(1-Inputs!$B$37)+J4</f>
        <v>6.7747297543279199</v>
      </c>
      <c r="K5" s="36">
        <f>J5*(1-Inputs!$B$37)+K4</f>
        <v>7.7069824567846403</v>
      </c>
      <c r="L5" s="36">
        <f>K5*(1-Inputs!$B$37)+L4</f>
        <v>8.6299126322167936</v>
      </c>
      <c r="M5" s="36">
        <f>L5*(1-Inputs!$B$37)+M4</f>
        <v>10.543613505894626</v>
      </c>
      <c r="N5" s="36">
        <f>M5*(1-Inputs!$B$37)+N4</f>
        <v>12.43817737083568</v>
      </c>
      <c r="O5" s="36">
        <f>N5*(1-Inputs!$B$37)+O4</f>
        <v>14.313795597127323</v>
      </c>
      <c r="P5" s="36">
        <f>O5*(1-Inputs!$B$37)+P4</f>
        <v>16.170657641156048</v>
      </c>
      <c r="Q5" s="36">
        <f>P5*(1-Inputs!$B$37)+Q4</f>
        <v>18.008951064744487</v>
      </c>
      <c r="R5" s="36">
        <f>Q5*(1-Inputs!$B$37)+R4</f>
        <v>19.828861554097042</v>
      </c>
      <c r="S5" s="36">
        <f>R5*(1-Inputs!$B$37)+S4</f>
        <v>21.630572938556071</v>
      </c>
      <c r="T5" s="36">
        <f>S5*(1-Inputs!$B$37)+T4</f>
        <v>23.414267209170511</v>
      </c>
      <c r="U5" s="36">
        <f>T5*(1-Inputs!$B$37)+U4</f>
        <v>25.180124537078804</v>
      </c>
      <c r="V5" s="36">
        <f>U5*(1-Inputs!$B$37)+V4</f>
        <v>26.928323291708015</v>
      </c>
      <c r="W5" s="36">
        <f>V5*(1-Inputs!$B$37)+W4</f>
        <v>28.659040058790936</v>
      </c>
      <c r="X5" s="36">
        <f>W5*(1-Inputs!$B$37)+X4</f>
        <v>30.372449658203028</v>
      </c>
      <c r="Y5" s="36">
        <f>X5*(1-Inputs!$B$37)+Y4</f>
        <v>32.068725161620996</v>
      </c>
    </row>
    <row r="7" spans="1:25" x14ac:dyDescent="0.3">
      <c r="A7" s="19" t="s">
        <v>113</v>
      </c>
      <c r="B7" s="21">
        <f>B5*'Unit Economics'!$B$8</f>
        <v>7000</v>
      </c>
      <c r="C7" s="21">
        <f>C5*'Unit Economics'!$B$8</f>
        <v>6930</v>
      </c>
      <c r="D7" s="21">
        <f>D5*'Unit Economics'!$B$8</f>
        <v>6860.7</v>
      </c>
      <c r="E7" s="21">
        <f>E5*'Unit Economics'!$B$8</f>
        <v>13792.092999999999</v>
      </c>
      <c r="F7" s="21">
        <f>F5*'Unit Economics'!$B$8</f>
        <v>20654.172070000001</v>
      </c>
      <c r="G7" s="21">
        <f>G5*'Unit Economics'!$B$8</f>
        <v>27447.630349300001</v>
      </c>
      <c r="H7" s="21">
        <f>H5*'Unit Economics'!$B$8</f>
        <v>34173.154045806994</v>
      </c>
      <c r="I7" s="21">
        <f>I5*'Unit Economics'!$B$8</f>
        <v>40831.422505348928</v>
      </c>
      <c r="J7" s="21">
        <f>J5*'Unit Economics'!$B$8</f>
        <v>47423.108280295441</v>
      </c>
      <c r="K7" s="21">
        <f>K5*'Unit Economics'!$B$8</f>
        <v>53948.877197492482</v>
      </c>
      <c r="L7" s="21">
        <f>L5*'Unit Economics'!$B$8</f>
        <v>60409.388425517558</v>
      </c>
      <c r="M7" s="21">
        <f>M5*'Unit Economics'!$B$8</f>
        <v>73805.294541262381</v>
      </c>
      <c r="N7" s="21">
        <f>N5*'Unit Economics'!$B$8</f>
        <v>87067.241595849759</v>
      </c>
      <c r="O7" s="21">
        <f>O5*'Unit Economics'!$B$8</f>
        <v>100196.56917989126</v>
      </c>
      <c r="P7" s="21">
        <f>P5*'Unit Economics'!$B$8</f>
        <v>113194.60348809234</v>
      </c>
      <c r="Q7" s="21">
        <f>Q5*'Unit Economics'!$B$8</f>
        <v>126062.6574532114</v>
      </c>
      <c r="R7" s="21">
        <f>R5*'Unit Economics'!$B$8</f>
        <v>138802.0308786793</v>
      </c>
      <c r="S7" s="21">
        <f>S5*'Unit Economics'!$B$8</f>
        <v>151414.0105698925</v>
      </c>
      <c r="T7" s="21">
        <f>T5*'Unit Economics'!$B$8</f>
        <v>163899.87046419358</v>
      </c>
      <c r="U7" s="21">
        <f>U5*'Unit Economics'!$B$8</f>
        <v>176260.87175955164</v>
      </c>
      <c r="V7" s="21">
        <f>V5*'Unit Economics'!$B$8</f>
        <v>188498.26304195612</v>
      </c>
      <c r="W7" s="21">
        <f>W5*'Unit Economics'!$B$8</f>
        <v>200613.28041153654</v>
      </c>
      <c r="X7" s="21">
        <f>X5*'Unit Economics'!$B$8</f>
        <v>212607.14760742118</v>
      </c>
      <c r="Y7" s="21">
        <f>Y5*'Unit Economics'!$B$8</f>
        <v>224481.07613134698</v>
      </c>
    </row>
    <row r="8" spans="1:25" x14ac:dyDescent="0.3">
      <c r="A8" s="19" t="s">
        <v>114</v>
      </c>
      <c r="B8" s="21">
        <f>-B7*Inputs!$B$30*Inputs!$B$31</f>
        <v>-175</v>
      </c>
      <c r="C8" s="21">
        <f>-C7*Inputs!$B$30*Inputs!$B$31</f>
        <v>-173.25</v>
      </c>
      <c r="D8" s="21">
        <f>-D7*Inputs!$B$30*Inputs!$B$31</f>
        <v>-171.51750000000001</v>
      </c>
      <c r="E8" s="21">
        <f>-E7*Inputs!$B$30*Inputs!$B$31</f>
        <v>-344.802325</v>
      </c>
      <c r="F8" s="21">
        <f>-F7*Inputs!$B$30*Inputs!$B$31</f>
        <v>-516.35430174999999</v>
      </c>
      <c r="G8" s="21">
        <f>-G7*Inputs!$B$30*Inputs!$B$31</f>
        <v>-686.19075873250006</v>
      </c>
      <c r="H8" s="21">
        <f>-H7*Inputs!$B$30*Inputs!$B$31</f>
        <v>-854.32885114517489</v>
      </c>
      <c r="I8" s="21">
        <f>-I7*Inputs!$B$30*Inputs!$B$31</f>
        <v>-1020.7855626337232</v>
      </c>
      <c r="J8" s="21">
        <f>-J7*Inputs!$B$30*Inputs!$B$31</f>
        <v>-1185.5777070073862</v>
      </c>
      <c r="K8" s="21">
        <f>-K7*Inputs!$B$30*Inputs!$B$31</f>
        <v>-1348.7219299373121</v>
      </c>
      <c r="L8" s="21">
        <f>-L7*Inputs!$B$30*Inputs!$B$31</f>
        <v>-1510.2347106379391</v>
      </c>
      <c r="M8" s="21">
        <f>-M7*Inputs!$B$30*Inputs!$B$31</f>
        <v>-1845.1323635315596</v>
      </c>
      <c r="N8" s="21">
        <f>-N7*Inputs!$B$30*Inputs!$B$31</f>
        <v>-2176.6810398962439</v>
      </c>
      <c r="O8" s="21">
        <f>-O7*Inputs!$B$30*Inputs!$B$31</f>
        <v>-2504.9142294972817</v>
      </c>
      <c r="P8" s="21">
        <f>-P7*Inputs!$B$30*Inputs!$B$31</f>
        <v>-2829.8650872023086</v>
      </c>
      <c r="Q8" s="21">
        <f>-Q7*Inputs!$B$30*Inputs!$B$31</f>
        <v>-3151.5664363302853</v>
      </c>
      <c r="R8" s="21">
        <f>-R7*Inputs!$B$30*Inputs!$B$31</f>
        <v>-3470.0507719669827</v>
      </c>
      <c r="S8" s="21">
        <f>-S7*Inputs!$B$30*Inputs!$B$31</f>
        <v>-3785.3502642473127</v>
      </c>
      <c r="T8" s="21">
        <f>-T7*Inputs!$B$30*Inputs!$B$31</f>
        <v>-4097.4967616048398</v>
      </c>
      <c r="U8" s="21">
        <f>-U7*Inputs!$B$30*Inputs!$B$31</f>
        <v>-4406.5217939887907</v>
      </c>
      <c r="V8" s="21">
        <f>-V7*Inputs!$B$30*Inputs!$B$31</f>
        <v>-4712.4565760489031</v>
      </c>
      <c r="W8" s="21">
        <f>-W7*Inputs!$B$30*Inputs!$B$31</f>
        <v>-5015.3320102884136</v>
      </c>
      <c r="X8" s="21">
        <f>-X7*Inputs!$B$30*Inputs!$B$31</f>
        <v>-5315.1786901855303</v>
      </c>
      <c r="Y8" s="21">
        <f>-Y7*Inputs!$B$30*Inputs!$B$31</f>
        <v>-5612.026903283675</v>
      </c>
    </row>
    <row r="9" spans="1:25" x14ac:dyDescent="0.3">
      <c r="A9" s="19" t="s">
        <v>95</v>
      </c>
      <c r="B9" s="21">
        <f>-(B7+B8)*Inputs!$B$29</f>
        <v>-682.5</v>
      </c>
      <c r="C9" s="21">
        <f>-(C7+C8)*Inputs!$B$29</f>
        <v>-675.67500000000007</v>
      </c>
      <c r="D9" s="21">
        <f>-(D7+D8)*Inputs!$B$29</f>
        <v>-668.91825000000006</v>
      </c>
      <c r="E9" s="21">
        <f>-(E7+E8)*Inputs!$B$29</f>
        <v>-1344.7290674999999</v>
      </c>
      <c r="F9" s="21">
        <f>-(F7+F8)*Inputs!$B$29</f>
        <v>-2013.781776825</v>
      </c>
      <c r="G9" s="21">
        <f>-(G7+G8)*Inputs!$B$29</f>
        <v>-2676.1439590567502</v>
      </c>
      <c r="H9" s="21">
        <f>-(H7+H8)*Inputs!$B$29</f>
        <v>-3331.8825194661822</v>
      </c>
      <c r="I9" s="21">
        <f>-(I7+I8)*Inputs!$B$29</f>
        <v>-3981.0636942715205</v>
      </c>
      <c r="J9" s="21">
        <f>-(J7+J8)*Inputs!$B$29</f>
        <v>-4623.753057328805</v>
      </c>
      <c r="K9" s="21">
        <f>-(K7+K8)*Inputs!$B$29</f>
        <v>-5260.0155267555174</v>
      </c>
      <c r="L9" s="21">
        <f>-(L7+L8)*Inputs!$B$29</f>
        <v>-5889.9153714879621</v>
      </c>
      <c r="M9" s="21">
        <f>-(M7+M8)*Inputs!$B$29</f>
        <v>-7196.0162177730817</v>
      </c>
      <c r="N9" s="21">
        <f>-(N7+N8)*Inputs!$B$29</f>
        <v>-8489.0560555953525</v>
      </c>
      <c r="O9" s="21">
        <f>-(O7+O8)*Inputs!$B$29</f>
        <v>-9769.1654950393986</v>
      </c>
      <c r="P9" s="21">
        <f>-(P7+P8)*Inputs!$B$29</f>
        <v>-11036.473840089004</v>
      </c>
      <c r="Q9" s="21">
        <f>-(Q7+Q8)*Inputs!$B$29</f>
        <v>-12291.109101688113</v>
      </c>
      <c r="R9" s="21">
        <f>-(R7+R8)*Inputs!$B$29</f>
        <v>-13533.198010671233</v>
      </c>
      <c r="S9" s="21">
        <f>-(S7+S8)*Inputs!$B$29</f>
        <v>-14762.866030564521</v>
      </c>
      <c r="T9" s="21">
        <f>-(T7+T8)*Inputs!$B$29</f>
        <v>-15980.237370258874</v>
      </c>
      <c r="U9" s="21">
        <f>-(U7+U8)*Inputs!$B$29</f>
        <v>-17185.434996556283</v>
      </c>
      <c r="V9" s="21">
        <f>-(V7+V8)*Inputs!$B$29</f>
        <v>-18378.580646590723</v>
      </c>
      <c r="W9" s="21">
        <f>-(W7+W8)*Inputs!$B$29</f>
        <v>-19559.794840124814</v>
      </c>
      <c r="X9" s="21">
        <f>-(X7+X8)*Inputs!$B$29</f>
        <v>-20729.196891723564</v>
      </c>
      <c r="Y9" s="21">
        <f>-(Y7+Y8)*Inputs!$B$29</f>
        <v>-21886.904922806334</v>
      </c>
    </row>
    <row r="10" spans="1:25" x14ac:dyDescent="0.3">
      <c r="A10" s="26" t="s">
        <v>115</v>
      </c>
      <c r="B10" s="24">
        <f t="shared" ref="B10:Y10" si="0">B7+B8+B9</f>
        <v>6142.5</v>
      </c>
      <c r="C10" s="24">
        <f t="shared" si="0"/>
        <v>6081.0749999999998</v>
      </c>
      <c r="D10" s="24">
        <f t="shared" si="0"/>
        <v>6020.2642500000002</v>
      </c>
      <c r="E10" s="24">
        <f t="shared" si="0"/>
        <v>12102.561607499998</v>
      </c>
      <c r="F10" s="24">
        <f t="shared" si="0"/>
        <v>18124.035991425</v>
      </c>
      <c r="G10" s="24">
        <f t="shared" si="0"/>
        <v>24085.295631510751</v>
      </c>
      <c r="H10" s="24">
        <f t="shared" si="0"/>
        <v>29986.942675195634</v>
      </c>
      <c r="I10" s="24">
        <f t="shared" si="0"/>
        <v>35829.573248443681</v>
      </c>
      <c r="J10" s="24">
        <f t="shared" si="0"/>
        <v>41613.777515959249</v>
      </c>
      <c r="K10" s="24">
        <f t="shared" si="0"/>
        <v>47340.139740799656</v>
      </c>
      <c r="L10" s="24">
        <f t="shared" si="0"/>
        <v>53009.238343391655</v>
      </c>
      <c r="M10" s="24">
        <f t="shared" si="0"/>
        <v>64764.145959957736</v>
      </c>
      <c r="N10" s="24">
        <f t="shared" si="0"/>
        <v>76401.504500358162</v>
      </c>
      <c r="O10" s="24">
        <f t="shared" si="0"/>
        <v>87922.489455354575</v>
      </c>
      <c r="P10" s="24">
        <f t="shared" si="0"/>
        <v>99328.264560801021</v>
      </c>
      <c r="Q10" s="24">
        <f t="shared" si="0"/>
        <v>110619.98191519301</v>
      </c>
      <c r="R10" s="24">
        <f t="shared" si="0"/>
        <v>121798.78209604109</v>
      </c>
      <c r="S10" s="24">
        <f t="shared" si="0"/>
        <v>132865.79427508067</v>
      </c>
      <c r="T10" s="24">
        <f t="shared" si="0"/>
        <v>143822.13633232986</v>
      </c>
      <c r="U10" s="24">
        <f t="shared" si="0"/>
        <v>154668.91496900655</v>
      </c>
      <c r="V10" s="24">
        <f t="shared" si="0"/>
        <v>165407.22581931652</v>
      </c>
      <c r="W10" s="24">
        <f t="shared" si="0"/>
        <v>176038.15356112333</v>
      </c>
      <c r="X10" s="24">
        <f t="shared" si="0"/>
        <v>186562.77202551207</v>
      </c>
      <c r="Y10" s="24">
        <f t="shared" si="0"/>
        <v>196982.14430525698</v>
      </c>
    </row>
    <row r="11" spans="1:25" x14ac:dyDescent="0.3">
      <c r="A11" s="19" t="s">
        <v>116</v>
      </c>
      <c r="B11" s="21">
        <f>-B5*'Unit Economics'!$B$20</f>
        <v>-2753.2</v>
      </c>
      <c r="C11" s="21">
        <f>-C5*'Unit Economics'!$B$20</f>
        <v>-2725.6679999999997</v>
      </c>
      <c r="D11" s="21">
        <f>-D5*'Unit Economics'!$B$20</f>
        <v>-2698.4113199999997</v>
      </c>
      <c r="E11" s="21">
        <f>-E5*'Unit Economics'!$B$20</f>
        <v>-5424.6272067999989</v>
      </c>
      <c r="F11" s="21">
        <f>-F5*'Unit Economics'!$B$20</f>
        <v>-8123.5809347319992</v>
      </c>
      <c r="G11" s="21">
        <f>-G5*'Unit Economics'!$B$20</f>
        <v>-10795.54512538468</v>
      </c>
      <c r="H11" s="21">
        <f>-H5*'Unit Economics'!$B$20</f>
        <v>-13440.78967413083</v>
      </c>
      <c r="I11" s="21">
        <f>-I5*'Unit Economics'!$B$20</f>
        <v>-16059.581777389523</v>
      </c>
      <c r="J11" s="21">
        <f>-J5*'Unit Economics'!$B$20</f>
        <v>-18652.185959615628</v>
      </c>
      <c r="K11" s="21">
        <f>-K5*'Unit Economics'!$B$20</f>
        <v>-21218.864100019469</v>
      </c>
      <c r="L11" s="21">
        <f>-L5*'Unit Economics'!$B$20</f>
        <v>-23759.875459019273</v>
      </c>
      <c r="M11" s="21">
        <f>-M5*'Unit Economics'!$B$20</f>
        <v>-29028.676704429083</v>
      </c>
      <c r="N11" s="21">
        <f>-N5*'Unit Economics'!$B$20</f>
        <v>-34244.78993738479</v>
      </c>
      <c r="O11" s="21">
        <f>-O5*'Unit Economics'!$B$20</f>
        <v>-39408.74203801094</v>
      </c>
      <c r="P11" s="21">
        <f>-P5*'Unit Economics'!$B$20</f>
        <v>-44521.054617630827</v>
      </c>
      <c r="Q11" s="21">
        <f>-Q5*'Unit Economics'!$B$20</f>
        <v>-49582.244071454516</v>
      </c>
      <c r="R11" s="21">
        <f>-R5*'Unit Economics'!$B$20</f>
        <v>-54592.821630739971</v>
      </c>
      <c r="S11" s="21">
        <f>-S5*'Unit Economics'!$B$20</f>
        <v>-59553.29341443257</v>
      </c>
      <c r="T11" s="21">
        <f>-T5*'Unit Economics'!$B$20</f>
        <v>-64464.160480288243</v>
      </c>
      <c r="U11" s="21">
        <f>-U5*'Unit Economics'!$B$20</f>
        <v>-69325.918875485353</v>
      </c>
      <c r="V11" s="21">
        <f>-V5*'Unit Economics'!$B$20</f>
        <v>-74139.059686730499</v>
      </c>
      <c r="W11" s="21">
        <f>-W5*'Unit Economics'!$B$20</f>
        <v>-78904.069089863202</v>
      </c>
      <c r="X11" s="21">
        <f>-X5*'Unit Economics'!$B$20</f>
        <v>-83621.428398964577</v>
      </c>
      <c r="Y11" s="21">
        <f>-Y5*'Unit Economics'!$B$20</f>
        <v>-88291.614114974916</v>
      </c>
    </row>
    <row r="12" spans="1:25" x14ac:dyDescent="0.3">
      <c r="A12" s="26" t="s">
        <v>117</v>
      </c>
      <c r="B12" s="24">
        <f t="shared" ref="B12:Y12" si="1">B10+B11</f>
        <v>3389.3</v>
      </c>
      <c r="C12" s="24">
        <f t="shared" si="1"/>
        <v>3355.4070000000002</v>
      </c>
      <c r="D12" s="24">
        <f t="shared" si="1"/>
        <v>3321.8529300000005</v>
      </c>
      <c r="E12" s="24">
        <f t="shared" si="1"/>
        <v>6677.9344006999991</v>
      </c>
      <c r="F12" s="24">
        <f t="shared" si="1"/>
        <v>10000.455056693001</v>
      </c>
      <c r="G12" s="24">
        <f t="shared" si="1"/>
        <v>13289.750506126071</v>
      </c>
      <c r="H12" s="24">
        <f t="shared" si="1"/>
        <v>16546.153001064806</v>
      </c>
      <c r="I12" s="24">
        <f t="shared" si="1"/>
        <v>19769.991471054156</v>
      </c>
      <c r="J12" s="24">
        <f t="shared" si="1"/>
        <v>22961.591556343621</v>
      </c>
      <c r="K12" s="24">
        <f t="shared" si="1"/>
        <v>26121.275640780186</v>
      </c>
      <c r="L12" s="24">
        <f t="shared" si="1"/>
        <v>29249.362884372382</v>
      </c>
      <c r="M12" s="24">
        <f t="shared" si="1"/>
        <v>35735.469255528653</v>
      </c>
      <c r="N12" s="24">
        <f t="shared" si="1"/>
        <v>42156.714562973371</v>
      </c>
      <c r="O12" s="24">
        <f t="shared" si="1"/>
        <v>48513.747417343635</v>
      </c>
      <c r="P12" s="24">
        <f t="shared" si="1"/>
        <v>54807.209943170194</v>
      </c>
      <c r="Q12" s="24">
        <f t="shared" si="1"/>
        <v>61037.737843738498</v>
      </c>
      <c r="R12" s="24">
        <f t="shared" si="1"/>
        <v>67205.960465301119</v>
      </c>
      <c r="S12" s="24">
        <f t="shared" si="1"/>
        <v>73312.500860648099</v>
      </c>
      <c r="T12" s="24">
        <f t="shared" si="1"/>
        <v>79357.975852041622</v>
      </c>
      <c r="U12" s="24">
        <f t="shared" si="1"/>
        <v>85342.9960935212</v>
      </c>
      <c r="V12" s="24">
        <f t="shared" si="1"/>
        <v>91268.166132586019</v>
      </c>
      <c r="W12" s="24">
        <f t="shared" si="1"/>
        <v>97134.084471260125</v>
      </c>
      <c r="X12" s="24">
        <f t="shared" si="1"/>
        <v>102941.34362654749</v>
      </c>
      <c r="Y12" s="24">
        <f t="shared" si="1"/>
        <v>108690.53019028206</v>
      </c>
    </row>
    <row r="14" spans="1:25" x14ac:dyDescent="0.3">
      <c r="A14" s="19" t="s">
        <v>118</v>
      </c>
      <c r="B14" s="21">
        <f>-Inputs!$B$38-Inputs!$B$39</f>
        <v>-2500</v>
      </c>
      <c r="C14" s="21">
        <f>-Inputs!$B$38-Inputs!$B$39</f>
        <v>-2500</v>
      </c>
      <c r="D14" s="21">
        <f>-Inputs!$B$38-Inputs!$B$39</f>
        <v>-2500</v>
      </c>
      <c r="E14" s="21">
        <f>-Inputs!$B$38-Inputs!$B$39</f>
        <v>-2500</v>
      </c>
      <c r="F14" s="21">
        <f>-Inputs!$B$38-Inputs!$B$39</f>
        <v>-2500</v>
      </c>
      <c r="G14" s="21">
        <f>-Inputs!$B$38-Inputs!$B$39</f>
        <v>-2500</v>
      </c>
      <c r="H14" s="21">
        <f>-Inputs!$B$38-Inputs!$B$39</f>
        <v>-2500</v>
      </c>
      <c r="I14" s="21">
        <f>-Inputs!$B$38-Inputs!$B$39</f>
        <v>-2500</v>
      </c>
      <c r="J14" s="21">
        <f>-Inputs!$B$38-Inputs!$B$39</f>
        <v>-2500</v>
      </c>
      <c r="K14" s="21">
        <f>-Inputs!$B$38-Inputs!$B$39</f>
        <v>-2500</v>
      </c>
      <c r="L14" s="21">
        <f>-Inputs!$B$38-Inputs!$B$39</f>
        <v>-2500</v>
      </c>
      <c r="M14" s="21">
        <f>-Inputs!$B$38-Inputs!$B$39</f>
        <v>-2500</v>
      </c>
      <c r="N14" s="21">
        <f>-Inputs!$B$38-Inputs!$B$39</f>
        <v>-2500</v>
      </c>
      <c r="O14" s="21">
        <f>-Inputs!$B$38-Inputs!$B$39</f>
        <v>-2500</v>
      </c>
      <c r="P14" s="21">
        <f>-Inputs!$B$38-Inputs!$B$39</f>
        <v>-2500</v>
      </c>
      <c r="Q14" s="21">
        <f>-Inputs!$B$38-Inputs!$B$39</f>
        <v>-2500</v>
      </c>
      <c r="R14" s="21">
        <f>-Inputs!$B$38-Inputs!$B$39</f>
        <v>-2500</v>
      </c>
      <c r="S14" s="21">
        <f>-Inputs!$B$38-Inputs!$B$39</f>
        <v>-2500</v>
      </c>
      <c r="T14" s="21">
        <f>-Inputs!$B$38-Inputs!$B$39</f>
        <v>-2500</v>
      </c>
      <c r="U14" s="21">
        <f>-Inputs!$B$38-Inputs!$B$39</f>
        <v>-2500</v>
      </c>
      <c r="V14" s="21">
        <f>-Inputs!$B$38-Inputs!$B$39</f>
        <v>-2500</v>
      </c>
      <c r="W14" s="21">
        <f>-Inputs!$B$38-Inputs!$B$39</f>
        <v>-2500</v>
      </c>
      <c r="X14" s="21">
        <f>-Inputs!$B$38-Inputs!$B$39</f>
        <v>-2500</v>
      </c>
      <c r="Y14" s="21">
        <f>-Inputs!$B$38-Inputs!$B$39</f>
        <v>-2500</v>
      </c>
    </row>
    <row r="15" spans="1:25" x14ac:dyDescent="0.3">
      <c r="A15" s="19" t="s">
        <v>119</v>
      </c>
      <c r="B15" s="21">
        <f>-B4*'Unit Economics'!$B$27</f>
        <v>-14500</v>
      </c>
      <c r="C15" s="21">
        <f>-C4*'Unit Economics'!$B$27</f>
        <v>0</v>
      </c>
      <c r="D15" s="21">
        <f>-D4*'Unit Economics'!$B$27</f>
        <v>0</v>
      </c>
      <c r="E15" s="21">
        <f>-E4*'Unit Economics'!$B$27</f>
        <v>-14500</v>
      </c>
      <c r="F15" s="21">
        <f>-F4*'Unit Economics'!$B$27</f>
        <v>-14500</v>
      </c>
      <c r="G15" s="21">
        <f>-G4*'Unit Economics'!$B$27</f>
        <v>-14500</v>
      </c>
      <c r="H15" s="21">
        <f>-H4*'Unit Economics'!$B$27</f>
        <v>-14500</v>
      </c>
      <c r="I15" s="21">
        <f>-I4*'Unit Economics'!$B$27</f>
        <v>-14500</v>
      </c>
      <c r="J15" s="21">
        <f>-J4*'Unit Economics'!$B$27</f>
        <v>-14500</v>
      </c>
      <c r="K15" s="21">
        <f>-K4*'Unit Economics'!$B$27</f>
        <v>-14500</v>
      </c>
      <c r="L15" s="21">
        <f>-L4*'Unit Economics'!$B$27</f>
        <v>-14500</v>
      </c>
      <c r="M15" s="21">
        <f>-M4*'Unit Economics'!$B$27</f>
        <v>-29000</v>
      </c>
      <c r="N15" s="21">
        <f>-N4*'Unit Economics'!$B$27</f>
        <v>-29000</v>
      </c>
      <c r="O15" s="21">
        <f>-O4*'Unit Economics'!$B$27</f>
        <v>-29000</v>
      </c>
      <c r="P15" s="21">
        <f>-P4*'Unit Economics'!$B$27</f>
        <v>-29000</v>
      </c>
      <c r="Q15" s="21">
        <f>-Q4*'Unit Economics'!$B$27</f>
        <v>-29000</v>
      </c>
      <c r="R15" s="21">
        <f>-R4*'Unit Economics'!$B$27</f>
        <v>-29000</v>
      </c>
      <c r="S15" s="21">
        <f>-S4*'Unit Economics'!$B$27</f>
        <v>-29000</v>
      </c>
      <c r="T15" s="21">
        <f>-T4*'Unit Economics'!$B$27</f>
        <v>-29000</v>
      </c>
      <c r="U15" s="21">
        <f>-U4*'Unit Economics'!$B$27</f>
        <v>-29000</v>
      </c>
      <c r="V15" s="21">
        <f>-V4*'Unit Economics'!$B$27</f>
        <v>-29000</v>
      </c>
      <c r="W15" s="21">
        <f>-W4*'Unit Economics'!$B$27</f>
        <v>-29000</v>
      </c>
      <c r="X15" s="21">
        <f>-X4*'Unit Economics'!$B$27</f>
        <v>-29000</v>
      </c>
      <c r="Y15" s="21">
        <f>-Y4*'Unit Economics'!$B$27</f>
        <v>-29000</v>
      </c>
    </row>
    <row r="16" spans="1:25" x14ac:dyDescent="0.3">
      <c r="A16" s="19" t="s">
        <v>120</v>
      </c>
      <c r="B16" s="21">
        <f>IF(B$3=1,-Inputs!$B$4*(1+Inputs!$B$6),0)+IF(B$3=Inputs!$B$7,-Inputs!$B$5*(1+Inputs!$B$6),0)</f>
        <v>-23000</v>
      </c>
      <c r="C16" s="21">
        <f>IF(C$3=1,-Inputs!$B$4*(1+Inputs!$B$6),0)+IF(C$3=Inputs!$B$7,-Inputs!$B$5*(1+Inputs!$B$6),0)</f>
        <v>0</v>
      </c>
      <c r="D16" s="21">
        <f>IF(D$3=1,-Inputs!$B$4*(1+Inputs!$B$6),0)+IF(D$3=Inputs!$B$7,-Inputs!$B$5*(1+Inputs!$B$6),0)</f>
        <v>-34500</v>
      </c>
      <c r="E16" s="21">
        <f>IF(E$3=1,-Inputs!$B$4*(1+Inputs!$B$6),0)+IF(E$3=Inputs!$B$7,-Inputs!$B$5*(1+Inputs!$B$6),0)</f>
        <v>0</v>
      </c>
      <c r="F16" s="21">
        <f>IF(F$3=1,-Inputs!$B$4*(1+Inputs!$B$6),0)+IF(F$3=Inputs!$B$7,-Inputs!$B$5*(1+Inputs!$B$6),0)</f>
        <v>0</v>
      </c>
      <c r="G16" s="21">
        <f>IF(G$3=1,-Inputs!$B$4*(1+Inputs!$B$6),0)+IF(G$3=Inputs!$B$7,-Inputs!$B$5*(1+Inputs!$B$6),0)</f>
        <v>0</v>
      </c>
      <c r="H16" s="21">
        <f>IF(H$3=1,-Inputs!$B$4*(1+Inputs!$B$6),0)+IF(H$3=Inputs!$B$7,-Inputs!$B$5*(1+Inputs!$B$6),0)</f>
        <v>0</v>
      </c>
      <c r="I16" s="21">
        <f>IF(I$3=1,-Inputs!$B$4*(1+Inputs!$B$6),0)+IF(I$3=Inputs!$B$7,-Inputs!$B$5*(1+Inputs!$B$6),0)</f>
        <v>0</v>
      </c>
      <c r="J16" s="21">
        <f>IF(J$3=1,-Inputs!$B$4*(1+Inputs!$B$6),0)+IF(J$3=Inputs!$B$7,-Inputs!$B$5*(1+Inputs!$B$6),0)</f>
        <v>0</v>
      </c>
      <c r="K16" s="21">
        <f>IF(K$3=1,-Inputs!$B$4*(1+Inputs!$B$6),0)+IF(K$3=Inputs!$B$7,-Inputs!$B$5*(1+Inputs!$B$6),0)</f>
        <v>0</v>
      </c>
      <c r="L16" s="21">
        <f>IF(L$3=1,-Inputs!$B$4*(1+Inputs!$B$6),0)+IF(L$3=Inputs!$B$7,-Inputs!$B$5*(1+Inputs!$B$6),0)</f>
        <v>0</v>
      </c>
      <c r="M16" s="21">
        <f>IF(M$3=1,-Inputs!$B$4*(1+Inputs!$B$6),0)+IF(M$3=Inputs!$B$7,-Inputs!$B$5*(1+Inputs!$B$6),0)</f>
        <v>0</v>
      </c>
      <c r="N16" s="21">
        <f>IF(N$3=1,-Inputs!$B$4*(1+Inputs!$B$6),0)+IF(N$3=Inputs!$B$7,-Inputs!$B$5*(1+Inputs!$B$6),0)</f>
        <v>0</v>
      </c>
      <c r="O16" s="21">
        <f>IF(O$3=1,-Inputs!$B$4*(1+Inputs!$B$6),0)+IF(O$3=Inputs!$B$7,-Inputs!$B$5*(1+Inputs!$B$6),0)</f>
        <v>0</v>
      </c>
      <c r="P16" s="21">
        <f>IF(P$3=1,-Inputs!$B$4*(1+Inputs!$B$6),0)+IF(P$3=Inputs!$B$7,-Inputs!$B$5*(1+Inputs!$B$6),0)</f>
        <v>0</v>
      </c>
      <c r="Q16" s="21">
        <f>IF(Q$3=1,-Inputs!$B$4*(1+Inputs!$B$6),0)+IF(Q$3=Inputs!$B$7,-Inputs!$B$5*(1+Inputs!$B$6),0)</f>
        <v>0</v>
      </c>
      <c r="R16" s="21">
        <f>IF(R$3=1,-Inputs!$B$4*(1+Inputs!$B$6),0)+IF(R$3=Inputs!$B$7,-Inputs!$B$5*(1+Inputs!$B$6),0)</f>
        <v>0</v>
      </c>
      <c r="S16" s="21">
        <f>IF(S$3=1,-Inputs!$B$4*(1+Inputs!$B$6),0)+IF(S$3=Inputs!$B$7,-Inputs!$B$5*(1+Inputs!$B$6),0)</f>
        <v>0</v>
      </c>
      <c r="T16" s="21">
        <f>IF(T$3=1,-Inputs!$B$4*(1+Inputs!$B$6),0)+IF(T$3=Inputs!$B$7,-Inputs!$B$5*(1+Inputs!$B$6),0)</f>
        <v>0</v>
      </c>
      <c r="U16" s="21">
        <f>IF(U$3=1,-Inputs!$B$4*(1+Inputs!$B$6),0)+IF(U$3=Inputs!$B$7,-Inputs!$B$5*(1+Inputs!$B$6),0)</f>
        <v>0</v>
      </c>
      <c r="V16" s="21">
        <f>IF(V$3=1,-Inputs!$B$4*(1+Inputs!$B$6),0)+IF(V$3=Inputs!$B$7,-Inputs!$B$5*(1+Inputs!$B$6),0)</f>
        <v>0</v>
      </c>
      <c r="W16" s="21">
        <f>IF(W$3=1,-Inputs!$B$4*(1+Inputs!$B$6),0)+IF(W$3=Inputs!$B$7,-Inputs!$B$5*(1+Inputs!$B$6),0)</f>
        <v>0</v>
      </c>
      <c r="X16" s="21">
        <f>IF(X$3=1,-Inputs!$B$4*(1+Inputs!$B$6),0)+IF(X$3=Inputs!$B$7,-Inputs!$B$5*(1+Inputs!$B$6),0)</f>
        <v>0</v>
      </c>
      <c r="Y16" s="21">
        <f>IF(Y$3=1,-Inputs!$B$4*(1+Inputs!$B$6),0)+IF(Y$3=Inputs!$B$7,-Inputs!$B$5*(1+Inputs!$B$6),0)</f>
        <v>0</v>
      </c>
    </row>
    <row r="17" spans="1:25" x14ac:dyDescent="0.3">
      <c r="A17" s="26" t="s">
        <v>98</v>
      </c>
      <c r="B17" s="24">
        <f t="shared" ref="B17:Y17" si="2">B12+B14+B15+B16</f>
        <v>-36610.699999999997</v>
      </c>
      <c r="C17" s="24">
        <f t="shared" si="2"/>
        <v>855.40700000000015</v>
      </c>
      <c r="D17" s="24">
        <f t="shared" si="2"/>
        <v>-33678.147069999999</v>
      </c>
      <c r="E17" s="24">
        <f t="shared" si="2"/>
        <v>-10322.0655993</v>
      </c>
      <c r="F17" s="24">
        <f t="shared" si="2"/>
        <v>-6999.5449433069989</v>
      </c>
      <c r="G17" s="24">
        <f t="shared" si="2"/>
        <v>-3710.2494938739292</v>
      </c>
      <c r="H17" s="24">
        <f t="shared" si="2"/>
        <v>-453.84699893519428</v>
      </c>
      <c r="I17" s="24">
        <f t="shared" si="2"/>
        <v>2769.9914710541561</v>
      </c>
      <c r="J17" s="24">
        <f t="shared" si="2"/>
        <v>5961.5915563436211</v>
      </c>
      <c r="K17" s="24">
        <f t="shared" si="2"/>
        <v>9121.2756407801862</v>
      </c>
      <c r="L17" s="24">
        <f t="shared" si="2"/>
        <v>12249.362884372382</v>
      </c>
      <c r="M17" s="24">
        <f t="shared" si="2"/>
        <v>4235.4692555286529</v>
      </c>
      <c r="N17" s="24">
        <f t="shared" si="2"/>
        <v>10656.714562973371</v>
      </c>
      <c r="O17" s="24">
        <f t="shared" si="2"/>
        <v>17013.747417343635</v>
      </c>
      <c r="P17" s="24">
        <f t="shared" si="2"/>
        <v>23307.209943170194</v>
      </c>
      <c r="Q17" s="24">
        <f t="shared" si="2"/>
        <v>29537.737843738498</v>
      </c>
      <c r="R17" s="24">
        <f t="shared" si="2"/>
        <v>35705.960465301119</v>
      </c>
      <c r="S17" s="24">
        <f t="shared" si="2"/>
        <v>41812.500860648099</v>
      </c>
      <c r="T17" s="24">
        <f t="shared" si="2"/>
        <v>47857.975852041622</v>
      </c>
      <c r="U17" s="24">
        <f t="shared" si="2"/>
        <v>53842.9960935212</v>
      </c>
      <c r="V17" s="24">
        <f t="shared" si="2"/>
        <v>59768.166132586019</v>
      </c>
      <c r="W17" s="24">
        <f t="shared" si="2"/>
        <v>65634.084471260125</v>
      </c>
      <c r="X17" s="24">
        <f t="shared" si="2"/>
        <v>71441.343626547488</v>
      </c>
      <c r="Y17" s="24">
        <f t="shared" si="2"/>
        <v>77190.530190282065</v>
      </c>
    </row>
    <row r="18" spans="1:25" x14ac:dyDescent="0.3">
      <c r="A18" s="31" t="s">
        <v>99</v>
      </c>
      <c r="B18" s="32">
        <f>B17</f>
        <v>-36610.699999999997</v>
      </c>
      <c r="C18" s="32">
        <f t="shared" ref="C18:Y18" si="3">B18+C17</f>
        <v>-35755.292999999998</v>
      </c>
      <c r="D18" s="32">
        <f t="shared" si="3"/>
        <v>-69433.440069999997</v>
      </c>
      <c r="E18" s="32">
        <f t="shared" si="3"/>
        <v>-79755.505669299993</v>
      </c>
      <c r="F18" s="32">
        <f t="shared" si="3"/>
        <v>-86755.050612606996</v>
      </c>
      <c r="G18" s="32">
        <f t="shared" si="3"/>
        <v>-90465.300106480921</v>
      </c>
      <c r="H18" s="32">
        <f t="shared" si="3"/>
        <v>-90919.147105416108</v>
      </c>
      <c r="I18" s="32">
        <f t="shared" si="3"/>
        <v>-88149.15563436196</v>
      </c>
      <c r="J18" s="32">
        <f t="shared" si="3"/>
        <v>-82187.564078018331</v>
      </c>
      <c r="K18" s="32">
        <f t="shared" si="3"/>
        <v>-73066.288437238138</v>
      </c>
      <c r="L18" s="32">
        <f t="shared" si="3"/>
        <v>-60816.925552865752</v>
      </c>
      <c r="M18" s="32">
        <f t="shared" si="3"/>
        <v>-56581.456297337099</v>
      </c>
      <c r="N18" s="32">
        <f t="shared" si="3"/>
        <v>-45924.741734363728</v>
      </c>
      <c r="O18" s="32">
        <f t="shared" si="3"/>
        <v>-28910.994317020093</v>
      </c>
      <c r="P18" s="32">
        <f t="shared" si="3"/>
        <v>-5603.7843738498996</v>
      </c>
      <c r="Q18" s="32">
        <f t="shared" si="3"/>
        <v>23933.953469888598</v>
      </c>
      <c r="R18" s="32">
        <f t="shared" si="3"/>
        <v>59639.913935189717</v>
      </c>
      <c r="S18" s="32">
        <f t="shared" si="3"/>
        <v>101452.41479583782</v>
      </c>
      <c r="T18" s="32">
        <f t="shared" si="3"/>
        <v>149310.39064787945</v>
      </c>
      <c r="U18" s="32">
        <f t="shared" si="3"/>
        <v>203153.38674140064</v>
      </c>
      <c r="V18" s="32">
        <f t="shared" si="3"/>
        <v>262921.55287398666</v>
      </c>
      <c r="W18" s="32">
        <f t="shared" si="3"/>
        <v>328555.6373452468</v>
      </c>
      <c r="X18" s="32">
        <f t="shared" si="3"/>
        <v>399996.98097179428</v>
      </c>
      <c r="Y18" s="32">
        <f t="shared" si="3"/>
        <v>477187.51116207638</v>
      </c>
    </row>
    <row r="20" spans="1:25" x14ac:dyDescent="0.3">
      <c r="A20" s="7" t="s">
        <v>121</v>
      </c>
      <c r="B20" s="8"/>
      <c r="C20" s="8"/>
      <c r="D20" s="8"/>
      <c r="E20" s="8"/>
    </row>
    <row r="21" spans="1:25" x14ac:dyDescent="0.3">
      <c r="A21" s="9" t="s">
        <v>122</v>
      </c>
      <c r="B21" s="33">
        <f>MIN(B18:Y18)</f>
        <v>-90919.147105416108</v>
      </c>
      <c r="C21" s="50" t="s">
        <v>159</v>
      </c>
      <c r="D21" s="1"/>
      <c r="E21" s="1"/>
      <c r="F21" s="1"/>
      <c r="G21" s="1"/>
      <c r="H21" s="1"/>
      <c r="I21" s="1"/>
      <c r="J21" s="1"/>
      <c r="K21" s="1"/>
      <c r="L21" s="1"/>
    </row>
    <row r="22" spans="1:25" x14ac:dyDescent="0.3">
      <c r="A22" s="9" t="s">
        <v>123</v>
      </c>
      <c r="B22" s="37">
        <f>COUNTIF(B18:Y18,"&lt;0")</f>
        <v>15</v>
      </c>
      <c r="C22" s="1" t="s">
        <v>124</v>
      </c>
      <c r="D22" s="1"/>
      <c r="E22" s="1"/>
      <c r="F22" s="1"/>
      <c r="G22" s="1"/>
      <c r="H22" s="1"/>
      <c r="I22" s="1"/>
      <c r="J22" s="1"/>
      <c r="K22" s="1"/>
      <c r="L22" s="1"/>
    </row>
    <row r="23" spans="1:25" x14ac:dyDescent="0.3">
      <c r="A23" s="9" t="s">
        <v>125</v>
      </c>
      <c r="B23" s="33">
        <f>Y18</f>
        <v>477187.51116207638</v>
      </c>
      <c r="C23" s="1" t="s">
        <v>126</v>
      </c>
      <c r="D23" s="1"/>
      <c r="E23" s="1"/>
      <c r="F23" s="1"/>
      <c r="G23" s="1"/>
      <c r="H23" s="1"/>
      <c r="I23" s="1"/>
      <c r="J23" s="1"/>
      <c r="K23" s="1"/>
      <c r="L23" s="1"/>
    </row>
    <row r="24" spans="1:25" x14ac:dyDescent="0.3">
      <c r="A24" s="9" t="s">
        <v>127</v>
      </c>
      <c r="B24" s="38">
        <f>Y5</f>
        <v>32.068725161620996</v>
      </c>
    </row>
    <row r="25" spans="1:25" x14ac:dyDescent="0.3">
      <c r="A25" s="9" t="s">
        <v>128</v>
      </c>
      <c r="B25" s="33">
        <f>Y7</f>
        <v>224481.07613134698</v>
      </c>
    </row>
  </sheetData>
  <mergeCells count="3">
    <mergeCell ref="C21:L21"/>
    <mergeCell ref="C22:L22"/>
    <mergeCell ref="C23:L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Leia-me</vt:lpstr>
      <vt:lpstr>Inputs</vt:lpstr>
      <vt:lpstr>Unit Economics</vt:lpstr>
      <vt:lpstr>Piloto (MVP)</vt:lpstr>
      <vt:lpstr>Projeção 24m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Olavo Ferreira Cruz</cp:lastModifiedBy>
  <cp:revision>0</cp:revision>
  <dcterms:created xsi:type="dcterms:W3CDTF">2026-07-02T13:33:07Z</dcterms:created>
  <dcterms:modified xsi:type="dcterms:W3CDTF">2026-07-02T15:28:21Z</dcterms:modified>
  <dc:language>en-US</dc:language>
</cp:coreProperties>
</file>